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bertyuniv-my.sharepoint.com/personal/eschweizer_liberty_edu/Documents/"/>
    </mc:Choice>
  </mc:AlternateContent>
  <xr:revisionPtr revIDLastSave="0" documentId="8_{CE096177-1199-430A-A730-D0AFBA6A0E75}" xr6:coauthVersionLast="45" xr6:coauthVersionMax="45" xr10:uidLastSave="{00000000-0000-0000-0000-000000000000}"/>
  <bookViews>
    <workbookView xWindow="380" yWindow="460" windowWidth="26140" windowHeight="16420" firstSheet="6" activeTab="5" xr2:uid="{9ED6B277-FE5F-8149-9191-AF89B7056FA4}"/>
  </bookViews>
  <sheets>
    <sheet name="Historical Income Statement" sheetId="1" r:id="rId1"/>
    <sheet name="Historical Balance Sheet" sheetId="2" r:id="rId2"/>
    <sheet name="Histoical Stmt of Cash Flows" sheetId="3" r:id="rId3"/>
    <sheet name="Historical Ratios" sheetId="4" r:id="rId4"/>
    <sheet name="Proforma Income Statement " sheetId="8" r:id="rId5"/>
    <sheet name="Proforma Balance Sheet" sheetId="9" r:id="rId6"/>
    <sheet name="Proforma Stmt of Cash Flows" sheetId="10" r:id="rId7"/>
    <sheet name="Cost Sheet" sheetId="11" r:id="rId8"/>
    <sheet name="Competitor Income Statement" sheetId="5" r:id="rId9"/>
    <sheet name="Competitor Balance Sheet" sheetId="6" r:id="rId10"/>
    <sheet name="Competitor Statement of Cash Fl" sheetId="7" r:id="rId1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9" l="1"/>
  <c r="H18" i="9"/>
  <c r="N5" i="4"/>
  <c r="L3" i="4"/>
  <c r="K3" i="4"/>
  <c r="J3" i="4"/>
  <c r="H26" i="10"/>
  <c r="G40" i="10" l="1"/>
  <c r="A5" i="11"/>
  <c r="A7" i="11"/>
  <c r="B13" i="11"/>
  <c r="B12" i="11"/>
  <c r="B11" i="11"/>
  <c r="B10" i="11"/>
  <c r="D16" i="4"/>
  <c r="C16" i="4"/>
  <c r="B16" i="4"/>
  <c r="E52" i="11"/>
  <c r="D3" i="4"/>
  <c r="C3" i="4"/>
  <c r="B3" i="4"/>
  <c r="B4" i="4"/>
  <c r="K26" i="10"/>
  <c r="K27" i="10"/>
  <c r="K46" i="10"/>
  <c r="K45" i="10"/>
  <c r="K43" i="10"/>
  <c r="K41" i="10"/>
  <c r="K39" i="10"/>
  <c r="K33" i="10"/>
  <c r="K32" i="10"/>
  <c r="K31" i="10"/>
  <c r="K30" i="10"/>
  <c r="K29" i="10"/>
  <c r="K28" i="10"/>
  <c r="K15" i="10"/>
  <c r="K14" i="10"/>
  <c r="K13" i="10"/>
  <c r="K11" i="10"/>
  <c r="H29" i="10"/>
  <c r="H46" i="10"/>
  <c r="E26" i="10"/>
  <c r="B36" i="10"/>
  <c r="D36" i="10" s="1"/>
  <c r="G36" i="10" s="1"/>
  <c r="E32" i="10"/>
  <c r="E33" i="10"/>
  <c r="H45" i="10" l="1"/>
  <c r="E45" i="10"/>
  <c r="H41" i="10"/>
  <c r="H40" i="10"/>
  <c r="H39" i="10"/>
  <c r="H33" i="10"/>
  <c r="H32" i="10"/>
  <c r="H31" i="10"/>
  <c r="H30" i="10"/>
  <c r="H27" i="10"/>
  <c r="H15" i="10"/>
  <c r="H14" i="10"/>
  <c r="H13" i="10"/>
  <c r="H11" i="10"/>
  <c r="E46" i="10" l="1"/>
  <c r="E43" i="10"/>
  <c r="E41" i="10"/>
  <c r="E40" i="10"/>
  <c r="E39" i="10"/>
  <c r="D33" i="10"/>
  <c r="E31" i="10"/>
  <c r="E30" i="10"/>
  <c r="E29" i="10"/>
  <c r="E27" i="10"/>
  <c r="E17" i="10"/>
  <c r="E15" i="10"/>
  <c r="E14" i="10"/>
  <c r="E13" i="10"/>
  <c r="E11" i="10"/>
  <c r="H45" i="9"/>
  <c r="H41" i="9"/>
  <c r="G29" i="10" l="1"/>
  <c r="J29" i="10" s="1"/>
  <c r="J26" i="10"/>
  <c r="E41" i="9"/>
  <c r="P20" i="8"/>
  <c r="L20" i="8"/>
  <c r="F20" i="8"/>
  <c r="K12" i="11"/>
  <c r="E42" i="11"/>
  <c r="E48" i="11"/>
  <c r="E45" i="11"/>
  <c r="E44" i="11"/>
  <c r="K41" i="11"/>
  <c r="K40" i="11"/>
  <c r="H40" i="11"/>
  <c r="E40" i="11"/>
  <c r="E19" i="11"/>
  <c r="H19" i="11" s="1"/>
  <c r="K19" i="11" s="1"/>
  <c r="J45" i="10"/>
  <c r="J13" i="10"/>
  <c r="J14" i="10"/>
  <c r="J15" i="10"/>
  <c r="J17" i="10"/>
  <c r="K17" i="10" s="1"/>
  <c r="J27" i="10"/>
  <c r="J28" i="10"/>
  <c r="J30" i="10"/>
  <c r="J31" i="10"/>
  <c r="J32" i="10"/>
  <c r="J39" i="10"/>
  <c r="J40" i="10"/>
  <c r="K40" i="10" s="1"/>
  <c r="J41" i="10"/>
  <c r="J11" i="10"/>
  <c r="C2" i="11"/>
  <c r="J46" i="10"/>
  <c r="G46" i="10"/>
  <c r="G13" i="10"/>
  <c r="G14" i="10"/>
  <c r="G15" i="10"/>
  <c r="G27" i="10"/>
  <c r="G30" i="10"/>
  <c r="G31" i="10"/>
  <c r="G32" i="10"/>
  <c r="G39" i="10"/>
  <c r="G41" i="10"/>
  <c r="G11" i="10"/>
  <c r="D40" i="10"/>
  <c r="D13" i="10"/>
  <c r="D14" i="10"/>
  <c r="D15" i="10"/>
  <c r="D27" i="10"/>
  <c r="D29" i="10"/>
  <c r="D30" i="10"/>
  <c r="D31" i="10"/>
  <c r="D32" i="10"/>
  <c r="D39" i="10"/>
  <c r="D41" i="10"/>
  <c r="D11" i="10"/>
  <c r="B41" i="10"/>
  <c r="B39" i="10"/>
  <c r="B32" i="10"/>
  <c r="B31" i="10"/>
  <c r="B30" i="10"/>
  <c r="B29" i="10"/>
  <c r="B27" i="10"/>
  <c r="B15" i="10"/>
  <c r="B14" i="10"/>
  <c r="B13" i="10"/>
  <c r="B40" i="10"/>
  <c r="B11" i="10"/>
  <c r="G45" i="10"/>
  <c r="M30" i="11"/>
  <c r="J30" i="11"/>
  <c r="H32" i="11" s="1"/>
  <c r="G30" i="11"/>
  <c r="E32" i="11" s="1"/>
  <c r="I34" i="11"/>
  <c r="H41" i="11"/>
  <c r="H42" i="11"/>
  <c r="K42" i="11" s="1"/>
  <c r="H43" i="11"/>
  <c r="K43" i="11" s="1"/>
  <c r="H44" i="11"/>
  <c r="K44" i="11" s="1"/>
  <c r="H45" i="11"/>
  <c r="K45" i="11" s="1"/>
  <c r="H46" i="11"/>
  <c r="K46" i="11" s="1"/>
  <c r="H47" i="11"/>
  <c r="K47" i="11" s="1"/>
  <c r="H48" i="11"/>
  <c r="K48" i="11" s="1"/>
  <c r="K11" i="11"/>
  <c r="M1" i="11"/>
  <c r="H18" i="11"/>
  <c r="K18" i="11" s="1"/>
  <c r="H17" i="11"/>
  <c r="K17" i="11" s="1"/>
  <c r="H14" i="11"/>
  <c r="K14" i="11" s="1"/>
  <c r="E13" i="11"/>
  <c r="H13" i="11" s="1"/>
  <c r="K13" i="11" s="1"/>
  <c r="H12" i="11"/>
  <c r="H11" i="11"/>
  <c r="J1" i="11"/>
  <c r="H3" i="11" s="1"/>
  <c r="E16" i="11"/>
  <c r="H16" i="11" s="1"/>
  <c r="K16" i="11" s="1"/>
  <c r="E15" i="11"/>
  <c r="H15" i="11" s="1"/>
  <c r="K15" i="11" s="1"/>
  <c r="E11" i="11"/>
  <c r="G1" i="11"/>
  <c r="E3" i="11" s="1"/>
  <c r="F5" i="11"/>
  <c r="I5" i="11" s="1"/>
  <c r="D46" i="10"/>
  <c r="D45" i="10"/>
  <c r="E36" i="10" l="1"/>
  <c r="G33" i="10"/>
  <c r="C4" i="11"/>
  <c r="F6" i="11" s="1"/>
  <c r="J33" i="10"/>
  <c r="H5" i="11"/>
  <c r="K3" i="11"/>
  <c r="K5" i="11"/>
  <c r="H34" i="11"/>
  <c r="F35" i="11"/>
  <c r="I35" i="11" s="1"/>
  <c r="L35" i="11" s="1"/>
  <c r="L34" i="11"/>
  <c r="E34" i="11"/>
  <c r="K32" i="11"/>
  <c r="E5" i="11"/>
  <c r="J36" i="10" l="1"/>
  <c r="K36" i="10" s="1"/>
  <c r="H36" i="10"/>
  <c r="I36" i="11"/>
  <c r="K34" i="11"/>
  <c r="L36" i="11"/>
  <c r="F7" i="11"/>
  <c r="I6" i="11"/>
  <c r="E6" i="11"/>
  <c r="E10" i="11" s="1"/>
  <c r="H35" i="11"/>
  <c r="K35" i="11"/>
  <c r="K39" i="11" s="1"/>
  <c r="F36" i="11"/>
  <c r="K36" i="11" s="1"/>
  <c r="E35" i="11"/>
  <c r="E39" i="11" s="1"/>
  <c r="E7" i="11" l="1"/>
  <c r="L6" i="11"/>
  <c r="I7" i="11"/>
  <c r="H6" i="11"/>
  <c r="K49" i="11"/>
  <c r="K50" i="11" s="1"/>
  <c r="E36" i="11"/>
  <c r="H39" i="11"/>
  <c r="H36" i="11"/>
  <c r="J45" i="9"/>
  <c r="K45" i="9" s="1"/>
  <c r="J41" i="9"/>
  <c r="K41" i="9" s="1"/>
  <c r="E20" i="11" l="1"/>
  <c r="E21" i="11" s="1"/>
  <c r="L7" i="11"/>
  <c r="K7" i="11" s="1"/>
  <c r="K6" i="11"/>
  <c r="K10" i="11" s="1"/>
  <c r="H10" i="11"/>
  <c r="H7" i="11"/>
  <c r="E49" i="11"/>
  <c r="E50" i="11" s="1"/>
  <c r="H49" i="11"/>
  <c r="H50" i="11" s="1"/>
  <c r="B46" i="10"/>
  <c r="B45" i="10"/>
  <c r="B9" i="9"/>
  <c r="H20" i="11" l="1"/>
  <c r="H21" i="11" s="1"/>
  <c r="H52" i="11" s="1"/>
  <c r="K20" i="11"/>
  <c r="K21" i="11" s="1"/>
  <c r="K52" i="11" s="1"/>
  <c r="D9" i="9"/>
  <c r="B19" i="10"/>
  <c r="B13" i="9"/>
  <c r="D13" i="9" s="1"/>
  <c r="G13" i="9" s="1"/>
  <c r="B12" i="9"/>
  <c r="D12" i="9" s="1"/>
  <c r="G12" i="9" s="1"/>
  <c r="B11" i="9"/>
  <c r="D11" i="9" s="1"/>
  <c r="G11" i="9" s="1"/>
  <c r="B8" i="9"/>
  <c r="D8" i="9" s="1"/>
  <c r="B34" i="9"/>
  <c r="B15" i="9"/>
  <c r="D15" i="9" s="1"/>
  <c r="B16" i="9"/>
  <c r="D16" i="9" s="1"/>
  <c r="B18" i="9"/>
  <c r="D18" i="9" s="1"/>
  <c r="B19" i="9"/>
  <c r="B21" i="9"/>
  <c r="D21" i="9" s="1"/>
  <c r="B22" i="9"/>
  <c r="D22" i="9" s="1"/>
  <c r="B23" i="9"/>
  <c r="D23" i="9" s="1"/>
  <c r="B24" i="9"/>
  <c r="B27" i="9"/>
  <c r="B35" i="10" s="1"/>
  <c r="B28" i="9"/>
  <c r="B21" i="10" s="1"/>
  <c r="B29" i="9"/>
  <c r="D29" i="9" s="1"/>
  <c r="B30" i="9"/>
  <c r="B31" i="9"/>
  <c r="D31" i="9" s="1"/>
  <c r="B32" i="9"/>
  <c r="D32" i="9" s="1"/>
  <c r="B35" i="9"/>
  <c r="B36" i="9"/>
  <c r="D36" i="9" s="1"/>
  <c r="B37" i="9"/>
  <c r="D37" i="9" l="1"/>
  <c r="B23" i="10"/>
  <c r="G36" i="9"/>
  <c r="E36" i="9"/>
  <c r="D35" i="9"/>
  <c r="D12" i="10"/>
  <c r="E12" i="10" s="1"/>
  <c r="B12" i="10"/>
  <c r="G32" i="9"/>
  <c r="E32" i="9"/>
  <c r="G31" i="9"/>
  <c r="E31" i="9"/>
  <c r="B16" i="10"/>
  <c r="G29" i="9"/>
  <c r="E29" i="9"/>
  <c r="D24" i="9"/>
  <c r="D23" i="10"/>
  <c r="E23" i="10" s="1"/>
  <c r="G23" i="9"/>
  <c r="E23" i="9"/>
  <c r="G22" i="9"/>
  <c r="J22" i="9" s="1"/>
  <c r="E22" i="9"/>
  <c r="H22" i="9" s="1"/>
  <c r="K22" i="9" s="1"/>
  <c r="G21" i="9"/>
  <c r="E21" i="9"/>
  <c r="G18" i="9"/>
  <c r="J18" i="9" s="1"/>
  <c r="E18" i="9"/>
  <c r="G16" i="9"/>
  <c r="E16" i="9"/>
  <c r="G15" i="9"/>
  <c r="E15" i="9"/>
  <c r="G8" i="9"/>
  <c r="E8" i="9"/>
  <c r="G9" i="9"/>
  <c r="D19" i="10"/>
  <c r="J11" i="9"/>
  <c r="J12" i="9"/>
  <c r="J13" i="9"/>
  <c r="J9" i="9"/>
  <c r="J19" i="10"/>
  <c r="G19" i="10"/>
  <c r="B20" i="9"/>
  <c r="D30" i="9"/>
  <c r="B22" i="10"/>
  <c r="D34" i="9"/>
  <c r="B37" i="10"/>
  <c r="J14" i="9"/>
  <c r="D28" i="9"/>
  <c r="D27" i="9"/>
  <c r="D14" i="9"/>
  <c r="D19" i="9"/>
  <c r="E19" i="9" s="1"/>
  <c r="D17" i="9"/>
  <c r="B43" i="10"/>
  <c r="B41" i="9"/>
  <c r="B42" i="9"/>
  <c r="D42" i="9" s="1"/>
  <c r="B47" i="9"/>
  <c r="D47" i="9" s="1"/>
  <c r="B45" i="9"/>
  <c r="D45" i="9" s="1"/>
  <c r="E45" i="9" s="1"/>
  <c r="B44" i="9"/>
  <c r="B38" i="10" s="1"/>
  <c r="B33" i="2"/>
  <c r="E25" i="2"/>
  <c r="G47" i="9" l="1"/>
  <c r="E47" i="9"/>
  <c r="G42" i="9"/>
  <c r="E42" i="9"/>
  <c r="G27" i="9"/>
  <c r="D35" i="10"/>
  <c r="E35" i="10" s="1"/>
  <c r="G28" i="9"/>
  <c r="G21" i="10" s="1"/>
  <c r="D21" i="10"/>
  <c r="G34" i="9"/>
  <c r="E34" i="9"/>
  <c r="D37" i="10"/>
  <c r="E37" i="10" s="1"/>
  <c r="G30" i="9"/>
  <c r="D22" i="10"/>
  <c r="E30" i="9"/>
  <c r="E22" i="10" s="1"/>
  <c r="D16" i="10"/>
  <c r="E16" i="10" s="1"/>
  <c r="J8" i="9"/>
  <c r="K8" i="9" s="1"/>
  <c r="H8" i="9"/>
  <c r="J15" i="9"/>
  <c r="K15" i="9" s="1"/>
  <c r="H15" i="9"/>
  <c r="J16" i="9"/>
  <c r="K16" i="9" s="1"/>
  <c r="H16" i="9"/>
  <c r="E20" i="9"/>
  <c r="J21" i="9"/>
  <c r="K21" i="9" s="1"/>
  <c r="H21" i="9"/>
  <c r="J23" i="9"/>
  <c r="K23" i="9" s="1"/>
  <c r="H23" i="9"/>
  <c r="G24" i="9"/>
  <c r="G23" i="10"/>
  <c r="H23" i="10" s="1"/>
  <c r="E24" i="9"/>
  <c r="J29" i="9"/>
  <c r="K29" i="9" s="1"/>
  <c r="H29" i="9"/>
  <c r="J31" i="9"/>
  <c r="K31" i="9" s="1"/>
  <c r="H31" i="9"/>
  <c r="J32" i="9"/>
  <c r="K32" i="9" s="1"/>
  <c r="H32" i="9"/>
  <c r="G35" i="9"/>
  <c r="E35" i="9"/>
  <c r="G12" i="10"/>
  <c r="H12" i="10" s="1"/>
  <c r="J36" i="9"/>
  <c r="K36" i="9" s="1"/>
  <c r="H36" i="9"/>
  <c r="G37" i="9"/>
  <c r="E37" i="9"/>
  <c r="J17" i="9"/>
  <c r="J27" i="9"/>
  <c r="H27" i="9"/>
  <c r="G35" i="10"/>
  <c r="J28" i="9"/>
  <c r="G19" i="9"/>
  <c r="D33" i="9"/>
  <c r="D44" i="9"/>
  <c r="D20" i="9"/>
  <c r="D25" i="9" s="1"/>
  <c r="B33" i="10"/>
  <c r="B7" i="8"/>
  <c r="B20" i="8"/>
  <c r="C20" i="8" s="1"/>
  <c r="B16" i="8"/>
  <c r="B12" i="8"/>
  <c r="B11" i="8"/>
  <c r="C11" i="8" s="1"/>
  <c r="B10" i="8"/>
  <c r="C10" i="8" s="1"/>
  <c r="B9" i="8"/>
  <c r="G33" i="9"/>
  <c r="B33" i="9"/>
  <c r="G20" i="9"/>
  <c r="G14" i="9"/>
  <c r="B14" i="9"/>
  <c r="D20" i="10" s="1"/>
  <c r="G44" i="9" l="1"/>
  <c r="E44" i="9"/>
  <c r="D38" i="10"/>
  <c r="E38" i="10" s="1"/>
  <c r="D38" i="9"/>
  <c r="F13" i="4" s="1"/>
  <c r="F4" i="4"/>
  <c r="F3" i="4"/>
  <c r="J19" i="9"/>
  <c r="H19" i="9"/>
  <c r="H20" i="9" s="1"/>
  <c r="J37" i="9"/>
  <c r="K37" i="9" s="1"/>
  <c r="H37" i="9"/>
  <c r="J35" i="9"/>
  <c r="K35" i="9" s="1"/>
  <c r="H35" i="9"/>
  <c r="J12" i="10"/>
  <c r="K12" i="10" s="1"/>
  <c r="J24" i="9"/>
  <c r="K24" i="9" s="1"/>
  <c r="J23" i="10"/>
  <c r="K23" i="10" s="1"/>
  <c r="H24" i="9"/>
  <c r="J30" i="9"/>
  <c r="G22" i="10"/>
  <c r="H22" i="10" s="1"/>
  <c r="H30" i="9"/>
  <c r="G16" i="10"/>
  <c r="J34" i="9"/>
  <c r="H34" i="9"/>
  <c r="G37" i="10"/>
  <c r="H37" i="10" s="1"/>
  <c r="E42" i="10"/>
  <c r="J42" i="9"/>
  <c r="K42" i="9" s="1"/>
  <c r="H42" i="9"/>
  <c r="J47" i="9"/>
  <c r="K47" i="9" s="1"/>
  <c r="H47" i="9"/>
  <c r="J21" i="10"/>
  <c r="J20" i="10"/>
  <c r="G20" i="10"/>
  <c r="H35" i="10"/>
  <c r="K27" i="9"/>
  <c r="J35" i="10"/>
  <c r="C12" i="8"/>
  <c r="D7" i="8"/>
  <c r="C7" i="8"/>
  <c r="C9" i="8"/>
  <c r="C16" i="8"/>
  <c r="D42" i="10"/>
  <c r="B20" i="10"/>
  <c r="B42" i="10"/>
  <c r="B13" i="8"/>
  <c r="C13" i="8" s="1"/>
  <c r="G17" i="9"/>
  <c r="B38" i="9"/>
  <c r="G38" i="9"/>
  <c r="L26" i="4"/>
  <c r="L27" i="4" s="1"/>
  <c r="K26" i="4"/>
  <c r="K27" i="4" s="1"/>
  <c r="J26" i="4"/>
  <c r="J27" i="4" s="1"/>
  <c r="G20" i="5"/>
  <c r="G21" i="5"/>
  <c r="F20" i="5"/>
  <c r="F21" i="5"/>
  <c r="C20" i="5"/>
  <c r="D20" i="5" s="1"/>
  <c r="C21" i="5"/>
  <c r="D21" i="5" s="1"/>
  <c r="L19" i="4"/>
  <c r="K19" i="4"/>
  <c r="J19" i="4"/>
  <c r="K34" i="9" l="1"/>
  <c r="J37" i="10"/>
  <c r="K37" i="10" s="1"/>
  <c r="H16" i="10"/>
  <c r="J16" i="10"/>
  <c r="K16" i="10" s="1"/>
  <c r="J22" i="10"/>
  <c r="K22" i="10" s="1"/>
  <c r="K30" i="9"/>
  <c r="J33" i="9"/>
  <c r="J20" i="9"/>
  <c r="J25" i="9" s="1"/>
  <c r="K19" i="9"/>
  <c r="K20" i="9" s="1"/>
  <c r="J44" i="9"/>
  <c r="H44" i="9"/>
  <c r="G38" i="10"/>
  <c r="G25" i="9"/>
  <c r="G13" i="4" s="1"/>
  <c r="G4" i="4"/>
  <c r="G3" i="4"/>
  <c r="F7" i="8"/>
  <c r="F10" i="4"/>
  <c r="F9" i="4"/>
  <c r="F8" i="4"/>
  <c r="K35" i="10"/>
  <c r="D12" i="8"/>
  <c r="E7" i="8"/>
  <c r="D9" i="8"/>
  <c r="E20" i="8"/>
  <c r="D10" i="8"/>
  <c r="E9" i="8"/>
  <c r="F9" i="8"/>
  <c r="E12" i="8"/>
  <c r="F12" i="8"/>
  <c r="H12" i="8" s="1"/>
  <c r="H7" i="8"/>
  <c r="H20" i="8"/>
  <c r="D16" i="8"/>
  <c r="D11" i="8"/>
  <c r="J7" i="8"/>
  <c r="B14" i="8"/>
  <c r="C14" i="8" s="1"/>
  <c r="L15" i="4"/>
  <c r="K15" i="4"/>
  <c r="J15" i="4"/>
  <c r="L14" i="4" a="1"/>
  <c r="L14" i="4" s="1"/>
  <c r="K14" i="4" a="1"/>
  <c r="K14" i="4" s="1"/>
  <c r="J14" i="4" a="1"/>
  <c r="J14" i="4" s="1"/>
  <c r="L13" i="4" a="1"/>
  <c r="L13" i="4" s="1"/>
  <c r="K13" i="4" a="1"/>
  <c r="K13" i="4" s="1"/>
  <c r="J13" i="4" a="1"/>
  <c r="J13" i="4" s="1"/>
  <c r="L10" i="4"/>
  <c r="K10" i="4"/>
  <c r="J10" i="4"/>
  <c r="L9" i="4"/>
  <c r="K9" i="4"/>
  <c r="J9" i="4"/>
  <c r="L8" i="4"/>
  <c r="K8" i="4"/>
  <c r="J8" i="4"/>
  <c r="L7" i="4"/>
  <c r="K7" i="4"/>
  <c r="J7" i="4"/>
  <c r="L6" i="4"/>
  <c r="K6" i="4"/>
  <c r="J6" i="4"/>
  <c r="D10" i="4"/>
  <c r="C10" i="4"/>
  <c r="B10" i="4"/>
  <c r="D9" i="4"/>
  <c r="H38" i="10" l="1"/>
  <c r="H42" i="10" s="1"/>
  <c r="G42" i="10"/>
  <c r="K44" i="9"/>
  <c r="J38" i="10"/>
  <c r="J38" i="9"/>
  <c r="H13" i="4" s="1"/>
  <c r="H4" i="4"/>
  <c r="H3" i="4"/>
  <c r="L7" i="8"/>
  <c r="G9" i="4"/>
  <c r="G8" i="4"/>
  <c r="G7" i="4"/>
  <c r="G10" i="4"/>
  <c r="G9" i="8"/>
  <c r="G10" i="8" s="1"/>
  <c r="F6" i="4"/>
  <c r="F5" i="4"/>
  <c r="F19" i="4"/>
  <c r="G7" i="8"/>
  <c r="G8" i="8" s="1"/>
  <c r="E9" i="9" s="1"/>
  <c r="N19" i="4"/>
  <c r="N9" i="4"/>
  <c r="N8" i="4"/>
  <c r="E27" i="9"/>
  <c r="E28" i="9"/>
  <c r="E21" i="10" s="1"/>
  <c r="K7" i="8"/>
  <c r="K20" i="8"/>
  <c r="E11" i="8"/>
  <c r="J11" i="8" s="1"/>
  <c r="F11" i="8"/>
  <c r="H11" i="8" s="1"/>
  <c r="H9" i="8"/>
  <c r="J12" i="8"/>
  <c r="N7" i="8"/>
  <c r="E16" i="8"/>
  <c r="F16" i="8"/>
  <c r="H16" i="8" s="1"/>
  <c r="J9" i="8"/>
  <c r="J16" i="8"/>
  <c r="E10" i="8"/>
  <c r="J10" i="8" s="1"/>
  <c r="F10" i="8"/>
  <c r="B17" i="8"/>
  <c r="C17" i="8" s="1"/>
  <c r="C9" i="4"/>
  <c r="B9" i="4"/>
  <c r="D19" i="4"/>
  <c r="C19" i="4"/>
  <c r="B19" i="4"/>
  <c r="K38" i="10" l="1"/>
  <c r="K42" i="10" s="1"/>
  <c r="J42" i="10"/>
  <c r="G5" i="4"/>
  <c r="G6" i="4"/>
  <c r="G19" i="4"/>
  <c r="H9" i="4"/>
  <c r="H8" i="4"/>
  <c r="H7" i="4"/>
  <c r="H10" i="4"/>
  <c r="N10" i="4"/>
  <c r="E19" i="10"/>
  <c r="M7" i="8"/>
  <c r="M8" i="8" s="1"/>
  <c r="H9" i="9" s="1"/>
  <c r="O9" i="4"/>
  <c r="O8" i="4"/>
  <c r="E33" i="9"/>
  <c r="E38" i="9" s="1"/>
  <c r="H10" i="8"/>
  <c r="G11" i="8"/>
  <c r="G12" i="8" s="1"/>
  <c r="E13" i="9"/>
  <c r="E12" i="9"/>
  <c r="E11" i="9"/>
  <c r="K11" i="8"/>
  <c r="N11" i="8" s="1"/>
  <c r="L11" i="8"/>
  <c r="K16" i="8"/>
  <c r="N16" i="8" s="1"/>
  <c r="L16" i="8"/>
  <c r="P7" i="8"/>
  <c r="O20" i="8"/>
  <c r="O7" i="8"/>
  <c r="K12" i="8"/>
  <c r="N12" i="8" s="1"/>
  <c r="L12" i="8"/>
  <c r="F13" i="8"/>
  <c r="K9" i="8"/>
  <c r="N9" i="8" s="1"/>
  <c r="L9" i="8"/>
  <c r="K10" i="8"/>
  <c r="N10" i="8" s="1"/>
  <c r="L10" i="8"/>
  <c r="M11" i="8" s="1"/>
  <c r="M12" i="8" s="1"/>
  <c r="B18" i="8"/>
  <c r="C18" i="8" s="1"/>
  <c r="L5" i="4"/>
  <c r="K5" i="4"/>
  <c r="J5" i="4"/>
  <c r="L4" i="4"/>
  <c r="K4" i="4"/>
  <c r="J4" i="4"/>
  <c r="M9" i="8" l="1"/>
  <c r="M10" i="8" s="1"/>
  <c r="O19" i="4"/>
  <c r="H5" i="4"/>
  <c r="H6" i="4"/>
  <c r="H19" i="4"/>
  <c r="P8" i="4"/>
  <c r="Q7" i="8"/>
  <c r="Q8" i="8" s="1"/>
  <c r="K9" i="9" s="1"/>
  <c r="O10" i="4"/>
  <c r="K19" i="10"/>
  <c r="H19" i="10"/>
  <c r="H11" i="9"/>
  <c r="H12" i="9"/>
  <c r="H13" i="9"/>
  <c r="H28" i="9"/>
  <c r="E14" i="9"/>
  <c r="E17" i="9"/>
  <c r="N4" i="4" s="1"/>
  <c r="O12" i="8"/>
  <c r="P12" i="8"/>
  <c r="O9" i="8"/>
  <c r="P9" i="8"/>
  <c r="O16" i="8"/>
  <c r="P16" i="8"/>
  <c r="L13" i="8"/>
  <c r="L14" i="8" s="1"/>
  <c r="H13" i="8"/>
  <c r="F14" i="8"/>
  <c r="O10" i="8"/>
  <c r="P10" i="8"/>
  <c r="Q11" i="8" s="1"/>
  <c r="Q12" i="8" s="1"/>
  <c r="K28" i="9" s="1"/>
  <c r="O11" i="8"/>
  <c r="P11" i="8"/>
  <c r="B19" i="8"/>
  <c r="L22" i="4"/>
  <c r="K22" i="4"/>
  <c r="J22" i="4"/>
  <c r="K21" i="10" l="1"/>
  <c r="K33" i="9"/>
  <c r="K38" i="9" s="1"/>
  <c r="N20" i="4"/>
  <c r="L17" i="8"/>
  <c r="O20" i="4"/>
  <c r="Q9" i="8"/>
  <c r="Q10" i="8" s="1"/>
  <c r="P19" i="4"/>
  <c r="E25" i="9"/>
  <c r="N7" i="4" s="1"/>
  <c r="N3" i="4"/>
  <c r="N6" i="4"/>
  <c r="E20" i="10"/>
  <c r="H33" i="9"/>
  <c r="H38" i="9" s="1"/>
  <c r="H21" i="10"/>
  <c r="P10" i="4"/>
  <c r="P9" i="4"/>
  <c r="H14" i="9"/>
  <c r="P13" i="8"/>
  <c r="P14" i="8" s="1"/>
  <c r="L18" i="8"/>
  <c r="C19" i="8"/>
  <c r="B43" i="9"/>
  <c r="B9" i="10"/>
  <c r="B24" i="10" s="1"/>
  <c r="B44" i="10" s="1"/>
  <c r="H14" i="8"/>
  <c r="F17" i="8"/>
  <c r="B21" i="8"/>
  <c r="C21" i="8" s="1"/>
  <c r="L20" i="4"/>
  <c r="K20" i="4"/>
  <c r="J20" i="4"/>
  <c r="L19" i="8" l="1"/>
  <c r="O16" i="4"/>
  <c r="P17" i="8"/>
  <c r="P18" i="8" s="1"/>
  <c r="P19" i="8" s="1"/>
  <c r="P20" i="4"/>
  <c r="P16" i="4"/>
  <c r="H17" i="9"/>
  <c r="O4" i="4" s="1"/>
  <c r="O6" i="4"/>
  <c r="O5" i="4"/>
  <c r="H20" i="10"/>
  <c r="N13" i="4"/>
  <c r="N22" i="4"/>
  <c r="K13" i="9"/>
  <c r="K12" i="9"/>
  <c r="K11" i="9"/>
  <c r="K14" i="9" s="1"/>
  <c r="L21" i="8"/>
  <c r="H9" i="10"/>
  <c r="H24" i="10" s="1"/>
  <c r="H44" i="10" s="1"/>
  <c r="H17" i="8"/>
  <c r="F18" i="8"/>
  <c r="B46" i="9"/>
  <c r="B48" i="9" s="1"/>
  <c r="B49" i="9" s="1"/>
  <c r="D26" i="4"/>
  <c r="D27" i="4" s="1"/>
  <c r="C26" i="4"/>
  <c r="C27" i="4" s="1"/>
  <c r="B26" i="4"/>
  <c r="B27" i="4" s="1"/>
  <c r="H18" i="8" l="1"/>
  <c r="N16" i="4"/>
  <c r="K17" i="9"/>
  <c r="P4" i="4" s="1"/>
  <c r="P6" i="4"/>
  <c r="P5" i="4"/>
  <c r="K20" i="10"/>
  <c r="H25" i="9"/>
  <c r="O3" i="4"/>
  <c r="P21" i="8"/>
  <c r="P26" i="4"/>
  <c r="P21" i="4"/>
  <c r="K9" i="10"/>
  <c r="K24" i="10" s="1"/>
  <c r="K44" i="10" s="1"/>
  <c r="O26" i="4"/>
  <c r="O21" i="4"/>
  <c r="F19" i="8"/>
  <c r="D21" i="4"/>
  <c r="C21" i="4"/>
  <c r="B21" i="4"/>
  <c r="D20" i="4"/>
  <c r="C20" i="4"/>
  <c r="B20" i="4"/>
  <c r="N26" i="4" l="1"/>
  <c r="N21" i="4"/>
  <c r="O7" i="4"/>
  <c r="O22" i="4"/>
  <c r="O13" i="4"/>
  <c r="K25" i="9"/>
  <c r="P3" i="4"/>
  <c r="H19" i="8"/>
  <c r="E9" i="10"/>
  <c r="E24" i="10" s="1"/>
  <c r="E44" i="10" s="1"/>
  <c r="F21" i="8"/>
  <c r="H21" i="8" s="1"/>
  <c r="E52" i="7"/>
  <c r="H52" i="7"/>
  <c r="H48" i="7"/>
  <c r="E48" i="7"/>
  <c r="H36" i="7"/>
  <c r="E36" i="7"/>
  <c r="B36" i="7"/>
  <c r="H28" i="7"/>
  <c r="H10" i="7"/>
  <c r="E28" i="7"/>
  <c r="E10" i="7"/>
  <c r="B52" i="7"/>
  <c r="B48" i="7"/>
  <c r="B28" i="7"/>
  <c r="B10" i="7"/>
  <c r="G14" i="7"/>
  <c r="D9" i="7"/>
  <c r="D12" i="7"/>
  <c r="D13" i="7"/>
  <c r="D15" i="7"/>
  <c r="D16" i="7"/>
  <c r="D17" i="7"/>
  <c r="D18" i="7"/>
  <c r="D19" i="7"/>
  <c r="D20" i="7"/>
  <c r="D21" i="7"/>
  <c r="D23" i="7"/>
  <c r="D24" i="7"/>
  <c r="D25" i="7"/>
  <c r="D26" i="7"/>
  <c r="D27" i="7"/>
  <c r="D30" i="7"/>
  <c r="D31" i="7"/>
  <c r="D32" i="7"/>
  <c r="D33" i="7"/>
  <c r="D34" i="7"/>
  <c r="D35" i="7"/>
  <c r="D38" i="7"/>
  <c r="D39" i="7"/>
  <c r="D40" i="7"/>
  <c r="D41" i="7"/>
  <c r="D42" i="7"/>
  <c r="D43" i="7"/>
  <c r="D44" i="7"/>
  <c r="D47" i="7"/>
  <c r="D49" i="7"/>
  <c r="D50" i="7"/>
  <c r="D51" i="7"/>
  <c r="D8" i="7"/>
  <c r="G9" i="7"/>
  <c r="G12" i="7"/>
  <c r="G13" i="7"/>
  <c r="G15" i="7"/>
  <c r="G16" i="7"/>
  <c r="G17" i="7"/>
  <c r="G18" i="7"/>
  <c r="G19" i="7"/>
  <c r="G20" i="7"/>
  <c r="G21" i="7"/>
  <c r="G23" i="7"/>
  <c r="G24" i="7"/>
  <c r="G25" i="7"/>
  <c r="G26" i="7"/>
  <c r="G27" i="7"/>
  <c r="G30" i="7"/>
  <c r="G31" i="7"/>
  <c r="G32" i="7"/>
  <c r="G33" i="7"/>
  <c r="G34" i="7"/>
  <c r="G35" i="7"/>
  <c r="G38" i="7"/>
  <c r="G39" i="7"/>
  <c r="G40" i="7"/>
  <c r="G41" i="7"/>
  <c r="G42" i="7"/>
  <c r="G43" i="7"/>
  <c r="G44" i="7"/>
  <c r="G47" i="7"/>
  <c r="G49" i="7"/>
  <c r="G50" i="7"/>
  <c r="G51" i="7"/>
  <c r="G8" i="7"/>
  <c r="C9" i="7"/>
  <c r="C10" i="7"/>
  <c r="D10" i="7" s="1"/>
  <c r="C12" i="7"/>
  <c r="C13" i="7"/>
  <c r="C14" i="7"/>
  <c r="C15" i="7"/>
  <c r="C16" i="7"/>
  <c r="C17" i="7"/>
  <c r="C18" i="7"/>
  <c r="C19" i="7"/>
  <c r="C20" i="7"/>
  <c r="C21" i="7"/>
  <c r="C23" i="7"/>
  <c r="C24" i="7"/>
  <c r="C25" i="7"/>
  <c r="C26" i="7"/>
  <c r="C27" i="7"/>
  <c r="C28" i="7"/>
  <c r="D28" i="7" s="1"/>
  <c r="C30" i="7"/>
  <c r="C31" i="7"/>
  <c r="C32" i="7"/>
  <c r="C33" i="7"/>
  <c r="C34" i="7"/>
  <c r="C35" i="7"/>
  <c r="C36" i="7"/>
  <c r="D36" i="7" s="1"/>
  <c r="C38" i="7"/>
  <c r="C39" i="7"/>
  <c r="C40" i="7"/>
  <c r="C41" i="7"/>
  <c r="C42" i="7"/>
  <c r="C43" i="7"/>
  <c r="C44" i="7"/>
  <c r="C45" i="7"/>
  <c r="D45" i="7" s="1"/>
  <c r="C46" i="7"/>
  <c r="D46" i="7" s="1"/>
  <c r="C47" i="7"/>
  <c r="C48" i="7"/>
  <c r="D48" i="7" s="1"/>
  <c r="C49" i="7"/>
  <c r="C50" i="7"/>
  <c r="C51" i="7"/>
  <c r="C52" i="7"/>
  <c r="D52" i="7" s="1"/>
  <c r="C8" i="7"/>
  <c r="F9" i="7"/>
  <c r="F10" i="7"/>
  <c r="G10" i="7" s="1"/>
  <c r="F12" i="7"/>
  <c r="F13" i="7"/>
  <c r="F14" i="7"/>
  <c r="F15" i="7"/>
  <c r="F16" i="7"/>
  <c r="F17" i="7"/>
  <c r="F18" i="7"/>
  <c r="F19" i="7"/>
  <c r="F20" i="7"/>
  <c r="F21" i="7"/>
  <c r="F23" i="7"/>
  <c r="F24" i="7"/>
  <c r="F25" i="7"/>
  <c r="F26" i="7"/>
  <c r="F27" i="7"/>
  <c r="F28" i="7"/>
  <c r="G28" i="7" s="1"/>
  <c r="F30" i="7"/>
  <c r="F31" i="7"/>
  <c r="F32" i="7"/>
  <c r="F33" i="7"/>
  <c r="F34" i="7"/>
  <c r="F35" i="7"/>
  <c r="F36" i="7"/>
  <c r="G36" i="7" s="1"/>
  <c r="F38" i="7"/>
  <c r="F39" i="7"/>
  <c r="F40" i="7"/>
  <c r="F41" i="7"/>
  <c r="F42" i="7"/>
  <c r="F43" i="7"/>
  <c r="F44" i="7"/>
  <c r="F45" i="7"/>
  <c r="F46" i="7"/>
  <c r="F47" i="7"/>
  <c r="F48" i="7"/>
  <c r="G48" i="7" s="1"/>
  <c r="F49" i="7"/>
  <c r="F50" i="7"/>
  <c r="F51" i="7"/>
  <c r="F52" i="7"/>
  <c r="G52" i="7" s="1"/>
  <c r="F8" i="7"/>
  <c r="H9" i="7"/>
  <c r="H12" i="7"/>
  <c r="H13" i="7"/>
  <c r="H14" i="7"/>
  <c r="H15" i="7"/>
  <c r="H16" i="7"/>
  <c r="H17" i="7"/>
  <c r="H18" i="7"/>
  <c r="H19" i="7"/>
  <c r="H20" i="7"/>
  <c r="H21" i="7"/>
  <c r="H23" i="7"/>
  <c r="H24" i="7"/>
  <c r="H25" i="7"/>
  <c r="H26" i="7"/>
  <c r="H27" i="7"/>
  <c r="H30" i="7"/>
  <c r="H31" i="7"/>
  <c r="H32" i="7"/>
  <c r="H33" i="7"/>
  <c r="H34" i="7"/>
  <c r="H35" i="7"/>
  <c r="H38" i="7"/>
  <c r="H39" i="7"/>
  <c r="H40" i="7"/>
  <c r="H41" i="7"/>
  <c r="H42" i="7"/>
  <c r="H43" i="7"/>
  <c r="H44" i="7"/>
  <c r="H47" i="7"/>
  <c r="H49" i="7"/>
  <c r="H50" i="7"/>
  <c r="H51" i="7"/>
  <c r="H8" i="7"/>
  <c r="E9" i="7"/>
  <c r="E12" i="7"/>
  <c r="E13" i="7"/>
  <c r="E15" i="7"/>
  <c r="E16" i="7"/>
  <c r="E17" i="7"/>
  <c r="E18" i="7"/>
  <c r="E19" i="7"/>
  <c r="E20" i="7"/>
  <c r="E21" i="7"/>
  <c r="E23" i="7"/>
  <c r="E24" i="7"/>
  <c r="E25" i="7"/>
  <c r="E26" i="7"/>
  <c r="E27" i="7"/>
  <c r="E30" i="7"/>
  <c r="E31" i="7"/>
  <c r="E32" i="7"/>
  <c r="E33" i="7"/>
  <c r="E34" i="7"/>
  <c r="E35" i="7"/>
  <c r="E38" i="7"/>
  <c r="E39" i="7"/>
  <c r="E40" i="7"/>
  <c r="E41" i="7"/>
  <c r="E42" i="7"/>
  <c r="E43" i="7"/>
  <c r="E44" i="7"/>
  <c r="E45" i="7"/>
  <c r="E46" i="7"/>
  <c r="E47" i="7"/>
  <c r="E49" i="7"/>
  <c r="E50" i="7"/>
  <c r="E51" i="7"/>
  <c r="E8" i="7"/>
  <c r="B9" i="7"/>
  <c r="B12" i="7"/>
  <c r="B13" i="7"/>
  <c r="B14" i="7"/>
  <c r="B15" i="7"/>
  <c r="B16" i="7"/>
  <c r="B17" i="7"/>
  <c r="B18" i="7"/>
  <c r="B19" i="7"/>
  <c r="B20" i="7"/>
  <c r="B21" i="7"/>
  <c r="B23" i="7"/>
  <c r="B24" i="7"/>
  <c r="B25" i="7"/>
  <c r="B26" i="7"/>
  <c r="B27" i="7"/>
  <c r="B30" i="7"/>
  <c r="B31" i="7"/>
  <c r="B32" i="7"/>
  <c r="B33" i="7"/>
  <c r="B34" i="7"/>
  <c r="B35" i="7"/>
  <c r="B38" i="7"/>
  <c r="B39" i="7"/>
  <c r="B40" i="7"/>
  <c r="B41" i="7"/>
  <c r="B42" i="7"/>
  <c r="B43" i="7"/>
  <c r="B44" i="7"/>
  <c r="B47" i="7"/>
  <c r="B49" i="7"/>
  <c r="B50" i="7"/>
  <c r="B51" i="7"/>
  <c r="B8" i="7"/>
  <c r="P7" i="4" l="1"/>
  <c r="P22" i="4"/>
  <c r="P13" i="4"/>
  <c r="E43" i="9"/>
  <c r="F8" i="6"/>
  <c r="G8" i="6" s="1"/>
  <c r="F9" i="6"/>
  <c r="G9" i="6" s="1"/>
  <c r="F10" i="6"/>
  <c r="G10" i="6" s="1"/>
  <c r="F11" i="6"/>
  <c r="G11" i="6" s="1"/>
  <c r="F13" i="6"/>
  <c r="G13" i="6" s="1"/>
  <c r="F14" i="6"/>
  <c r="G14" i="6" s="1"/>
  <c r="F15" i="6"/>
  <c r="G15" i="6" s="1"/>
  <c r="F16" i="6"/>
  <c r="G16" i="6" s="1"/>
  <c r="F17" i="6"/>
  <c r="G17" i="6" s="1"/>
  <c r="F18" i="6"/>
  <c r="G18" i="6" s="1"/>
  <c r="F19" i="6"/>
  <c r="G19" i="6" s="1"/>
  <c r="F22" i="6"/>
  <c r="G22" i="6" s="1"/>
  <c r="F23" i="6"/>
  <c r="G23" i="6" s="1"/>
  <c r="F24" i="6"/>
  <c r="G24" i="6" s="1"/>
  <c r="F25" i="6"/>
  <c r="G25" i="6" s="1"/>
  <c r="F27" i="6"/>
  <c r="G27" i="6" s="1"/>
  <c r="F28" i="6"/>
  <c r="G28" i="6" s="1"/>
  <c r="F29" i="6"/>
  <c r="G29" i="6" s="1"/>
  <c r="F30" i="6"/>
  <c r="G30" i="6" s="1"/>
  <c r="F31" i="6"/>
  <c r="G31" i="6" s="1"/>
  <c r="F32" i="6"/>
  <c r="G32" i="6" s="1"/>
  <c r="F34" i="6"/>
  <c r="G34" i="6" s="1"/>
  <c r="F35" i="6"/>
  <c r="G35" i="6" s="1"/>
  <c r="F36" i="6"/>
  <c r="G36" i="6" s="1"/>
  <c r="F37" i="6"/>
  <c r="G37" i="6" s="1"/>
  <c r="F38" i="6"/>
  <c r="G38" i="6" s="1"/>
  <c r="F40" i="6"/>
  <c r="G40" i="6" s="1"/>
  <c r="F7" i="6"/>
  <c r="G7" i="6" s="1"/>
  <c r="C8" i="6"/>
  <c r="D8" i="6" s="1"/>
  <c r="C9" i="6"/>
  <c r="D9" i="6" s="1"/>
  <c r="C10" i="6"/>
  <c r="D10" i="6" s="1"/>
  <c r="C11" i="6"/>
  <c r="D11" i="6" s="1"/>
  <c r="C13" i="6"/>
  <c r="D13" i="6" s="1"/>
  <c r="C14" i="6"/>
  <c r="D14" i="6" s="1"/>
  <c r="C15" i="6"/>
  <c r="D15" i="6" s="1"/>
  <c r="C16" i="6"/>
  <c r="D16" i="6" s="1"/>
  <c r="C17" i="6"/>
  <c r="D17" i="6" s="1"/>
  <c r="C18" i="6"/>
  <c r="D18" i="6" s="1"/>
  <c r="C19" i="6"/>
  <c r="D19" i="6" s="1"/>
  <c r="C22" i="6"/>
  <c r="D22" i="6" s="1"/>
  <c r="C23" i="6"/>
  <c r="D23" i="6" s="1"/>
  <c r="C24" i="6"/>
  <c r="D24" i="6" s="1"/>
  <c r="C25" i="6"/>
  <c r="D25" i="6" s="1"/>
  <c r="C27" i="6"/>
  <c r="D27" i="6" s="1"/>
  <c r="C28" i="6"/>
  <c r="D28" i="6" s="1"/>
  <c r="C29" i="6"/>
  <c r="D29" i="6" s="1"/>
  <c r="C30" i="6"/>
  <c r="D30" i="6" s="1"/>
  <c r="C31" i="6"/>
  <c r="D31" i="6" s="1"/>
  <c r="C32" i="6"/>
  <c r="D32" i="6" s="1"/>
  <c r="C34" i="6"/>
  <c r="D34" i="6" s="1"/>
  <c r="C35" i="6"/>
  <c r="D35" i="6" s="1"/>
  <c r="C36" i="6"/>
  <c r="D36" i="6" s="1"/>
  <c r="C37" i="6"/>
  <c r="D37" i="6" s="1"/>
  <c r="C38" i="6"/>
  <c r="D38" i="6" s="1"/>
  <c r="C40" i="6"/>
  <c r="D40" i="6" s="1"/>
  <c r="C7" i="6"/>
  <c r="D7" i="6" s="1"/>
  <c r="H39" i="6"/>
  <c r="E39" i="6"/>
  <c r="B39" i="6"/>
  <c r="H26" i="6"/>
  <c r="E26" i="6"/>
  <c r="B26" i="6"/>
  <c r="H12" i="6"/>
  <c r="E12" i="6"/>
  <c r="B12" i="6"/>
  <c r="K10" i="5"/>
  <c r="K11" i="5"/>
  <c r="K12" i="5"/>
  <c r="K13" i="5"/>
  <c r="K15" i="5"/>
  <c r="K16" i="5"/>
  <c r="K18" i="5"/>
  <c r="K8" i="5"/>
  <c r="J10" i="5"/>
  <c r="J11" i="5"/>
  <c r="J12" i="5"/>
  <c r="J13" i="5"/>
  <c r="J15" i="5"/>
  <c r="J16" i="5"/>
  <c r="J18" i="5"/>
  <c r="J8" i="5"/>
  <c r="I10" i="5"/>
  <c r="I11" i="5"/>
  <c r="I12" i="5"/>
  <c r="I13" i="5"/>
  <c r="I15" i="5"/>
  <c r="I16" i="5"/>
  <c r="I18" i="5"/>
  <c r="I8" i="5"/>
  <c r="F10" i="5"/>
  <c r="G10" i="5" s="1"/>
  <c r="F11" i="5"/>
  <c r="G11" i="5" s="1"/>
  <c r="F12" i="5"/>
  <c r="G12" i="5" s="1"/>
  <c r="F13" i="5"/>
  <c r="G13" i="5" s="1"/>
  <c r="F15" i="5"/>
  <c r="G15" i="5" s="1"/>
  <c r="F16" i="5"/>
  <c r="G16" i="5" s="1"/>
  <c r="F18" i="5"/>
  <c r="G18" i="5" s="1"/>
  <c r="F8" i="5"/>
  <c r="G8" i="5" s="1"/>
  <c r="C10" i="5"/>
  <c r="D10" i="5" s="1"/>
  <c r="C11" i="5"/>
  <c r="D11" i="5" s="1"/>
  <c r="C12" i="5"/>
  <c r="D12" i="5" s="1"/>
  <c r="C13" i="5"/>
  <c r="D13" i="5" s="1"/>
  <c r="C15" i="5"/>
  <c r="D15" i="5" s="1"/>
  <c r="C16" i="5"/>
  <c r="D16" i="5" s="1"/>
  <c r="C18" i="5"/>
  <c r="D18" i="5" s="1"/>
  <c r="C8" i="5"/>
  <c r="D8" i="5" s="1"/>
  <c r="H17" i="5"/>
  <c r="E17" i="5"/>
  <c r="B17" i="5"/>
  <c r="H14" i="5"/>
  <c r="E14" i="5"/>
  <c r="K16" i="4" s="1"/>
  <c r="B14" i="5"/>
  <c r="J16" i="4" s="1"/>
  <c r="F8" i="2"/>
  <c r="G8" i="2" s="1"/>
  <c r="F9" i="2"/>
  <c r="G9" i="2" s="1"/>
  <c r="F11" i="2"/>
  <c r="G11" i="2" s="1"/>
  <c r="F12" i="2"/>
  <c r="G12" i="2" s="1"/>
  <c r="F13" i="2"/>
  <c r="G13" i="2" s="1"/>
  <c r="F15" i="2"/>
  <c r="G15" i="2" s="1"/>
  <c r="F16" i="2"/>
  <c r="G16" i="2" s="1"/>
  <c r="F18" i="2"/>
  <c r="G18" i="2" s="1"/>
  <c r="F19" i="2"/>
  <c r="G19" i="2" s="1"/>
  <c r="F21" i="2"/>
  <c r="F22" i="2"/>
  <c r="G22" i="2" s="1"/>
  <c r="F23" i="2"/>
  <c r="G23" i="2" s="1"/>
  <c r="F24" i="2"/>
  <c r="G24" i="2" s="1"/>
  <c r="F27" i="2"/>
  <c r="G27" i="2" s="1"/>
  <c r="F28" i="2"/>
  <c r="G28" i="2" s="1"/>
  <c r="F29" i="2"/>
  <c r="G29" i="2" s="1"/>
  <c r="F30" i="2"/>
  <c r="G30" i="2" s="1"/>
  <c r="F31" i="2"/>
  <c r="F32" i="2"/>
  <c r="G32" i="2" s="1"/>
  <c r="F34" i="2"/>
  <c r="G34" i="2" s="1"/>
  <c r="F35" i="2"/>
  <c r="G35" i="2" s="1"/>
  <c r="F36" i="2"/>
  <c r="F37" i="2"/>
  <c r="G37" i="2" s="1"/>
  <c r="F41" i="2"/>
  <c r="G41" i="2" s="1"/>
  <c r="F42" i="2"/>
  <c r="G42" i="2" s="1"/>
  <c r="F43" i="2"/>
  <c r="G43" i="2" s="1"/>
  <c r="F44" i="2"/>
  <c r="G44" i="2" s="1"/>
  <c r="F45" i="2"/>
  <c r="G45" i="2" s="1"/>
  <c r="F47" i="2"/>
  <c r="G47" i="2" s="1"/>
  <c r="F7" i="2"/>
  <c r="G7" i="2" s="1"/>
  <c r="C8" i="2"/>
  <c r="D8" i="2" s="1"/>
  <c r="C9" i="2"/>
  <c r="D9" i="2" s="1"/>
  <c r="C11" i="2"/>
  <c r="D11" i="2" s="1"/>
  <c r="C12" i="2"/>
  <c r="D12" i="2" s="1"/>
  <c r="C13" i="2"/>
  <c r="D13" i="2" s="1"/>
  <c r="C15" i="2"/>
  <c r="D15" i="2" s="1"/>
  <c r="C16" i="2"/>
  <c r="D16" i="2" s="1"/>
  <c r="C18" i="2"/>
  <c r="D18" i="2" s="1"/>
  <c r="C19" i="2"/>
  <c r="D19" i="2" s="1"/>
  <c r="C21" i="2"/>
  <c r="C22" i="2"/>
  <c r="D22" i="2" s="1"/>
  <c r="C23" i="2"/>
  <c r="D23" i="2" s="1"/>
  <c r="C24" i="2"/>
  <c r="D24" i="2" s="1"/>
  <c r="C27" i="2"/>
  <c r="D27" i="2" s="1"/>
  <c r="C28" i="2"/>
  <c r="D28" i="2" s="1"/>
  <c r="C29" i="2"/>
  <c r="D29" i="2" s="1"/>
  <c r="C30" i="2"/>
  <c r="D30" i="2" s="1"/>
  <c r="C31" i="2"/>
  <c r="C32" i="2"/>
  <c r="D32" i="2" s="1"/>
  <c r="C34" i="2"/>
  <c r="D34" i="2" s="1"/>
  <c r="C35" i="2"/>
  <c r="D35" i="2" s="1"/>
  <c r="C36" i="2"/>
  <c r="C37" i="2"/>
  <c r="D37" i="2" s="1"/>
  <c r="C41" i="2"/>
  <c r="D41" i="2" s="1"/>
  <c r="C42" i="2"/>
  <c r="D42" i="2" s="1"/>
  <c r="C43" i="2"/>
  <c r="D43" i="2" s="1"/>
  <c r="C44" i="2"/>
  <c r="D44" i="2" s="1"/>
  <c r="C45" i="2"/>
  <c r="D45" i="2" s="1"/>
  <c r="C47" i="2"/>
  <c r="D47" i="2" s="1"/>
  <c r="C7" i="2"/>
  <c r="D7" i="2" s="1"/>
  <c r="H46" i="2"/>
  <c r="E46" i="2"/>
  <c r="B46" i="2"/>
  <c r="H33" i="2"/>
  <c r="E33" i="2"/>
  <c r="H20" i="2"/>
  <c r="D8" i="4" s="1"/>
  <c r="E20" i="2"/>
  <c r="C8" i="4" s="1"/>
  <c r="B20" i="2"/>
  <c r="B8" i="4" s="1"/>
  <c r="H14" i="2"/>
  <c r="E14" i="2"/>
  <c r="B14" i="2"/>
  <c r="B17" i="2" s="1"/>
  <c r="B25" i="2" s="1"/>
  <c r="F10" i="3"/>
  <c r="G10" i="3" s="1"/>
  <c r="F11" i="3"/>
  <c r="G11" i="3" s="1"/>
  <c r="F12" i="3"/>
  <c r="G12" i="3" s="1"/>
  <c r="F13" i="3"/>
  <c r="G13" i="3" s="1"/>
  <c r="F14" i="3"/>
  <c r="G14" i="3" s="1"/>
  <c r="F15" i="3"/>
  <c r="G15" i="3" s="1"/>
  <c r="F16" i="3"/>
  <c r="F18" i="3"/>
  <c r="G18" i="3" s="1"/>
  <c r="F19" i="3"/>
  <c r="G19" i="3" s="1"/>
  <c r="F20" i="3"/>
  <c r="G20" i="3" s="1"/>
  <c r="F21" i="3"/>
  <c r="G21" i="3" s="1"/>
  <c r="F22" i="3"/>
  <c r="G22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G31" i="3" s="1"/>
  <c r="F34" i="3"/>
  <c r="G34" i="3" s="1"/>
  <c r="F35" i="3"/>
  <c r="G35" i="3" s="1"/>
  <c r="F36" i="3"/>
  <c r="G36" i="3" s="1"/>
  <c r="F37" i="3"/>
  <c r="G37" i="3" s="1"/>
  <c r="F38" i="3"/>
  <c r="G38" i="3" s="1"/>
  <c r="F39" i="3"/>
  <c r="G39" i="3" s="1"/>
  <c r="F40" i="3"/>
  <c r="G40" i="3" s="1"/>
  <c r="F42" i="3"/>
  <c r="G42" i="3" s="1"/>
  <c r="F43" i="3"/>
  <c r="G43" i="3" s="1"/>
  <c r="F44" i="3"/>
  <c r="G44" i="3" s="1"/>
  <c r="F8" i="3"/>
  <c r="G8" i="3" s="1"/>
  <c r="C10" i="3"/>
  <c r="D10" i="3" s="1"/>
  <c r="C11" i="3"/>
  <c r="D11" i="3" s="1"/>
  <c r="C12" i="3"/>
  <c r="D12" i="3" s="1"/>
  <c r="C13" i="3"/>
  <c r="D13" i="3" s="1"/>
  <c r="C14" i="3"/>
  <c r="D14" i="3" s="1"/>
  <c r="C15" i="3"/>
  <c r="D15" i="3" s="1"/>
  <c r="C16" i="3"/>
  <c r="C18" i="3"/>
  <c r="D18" i="3" s="1"/>
  <c r="C19" i="3"/>
  <c r="D19" i="3" s="1"/>
  <c r="C20" i="3"/>
  <c r="D20" i="3" s="1"/>
  <c r="C21" i="3"/>
  <c r="D21" i="3" s="1"/>
  <c r="C22" i="3"/>
  <c r="D22" i="3" s="1"/>
  <c r="C25" i="3"/>
  <c r="D25" i="3" s="1"/>
  <c r="C26" i="3"/>
  <c r="D26" i="3" s="1"/>
  <c r="C27" i="3"/>
  <c r="D27" i="3" s="1"/>
  <c r="C28" i="3"/>
  <c r="D28" i="3" s="1"/>
  <c r="C29" i="3"/>
  <c r="D29" i="3" s="1"/>
  <c r="C30" i="3"/>
  <c r="D30" i="3" s="1"/>
  <c r="C31" i="3"/>
  <c r="D31" i="3" s="1"/>
  <c r="C34" i="3"/>
  <c r="D34" i="3" s="1"/>
  <c r="C35" i="3"/>
  <c r="D35" i="3" s="1"/>
  <c r="C36" i="3"/>
  <c r="D36" i="3" s="1"/>
  <c r="C37" i="3"/>
  <c r="D37" i="3" s="1"/>
  <c r="C38" i="3"/>
  <c r="D38" i="3" s="1"/>
  <c r="C39" i="3"/>
  <c r="D39" i="3" s="1"/>
  <c r="C40" i="3"/>
  <c r="D40" i="3" s="1"/>
  <c r="C42" i="3"/>
  <c r="D42" i="3" s="1"/>
  <c r="C43" i="3"/>
  <c r="D43" i="3" s="1"/>
  <c r="C44" i="3"/>
  <c r="D44" i="3" s="1"/>
  <c r="C8" i="3"/>
  <c r="D8" i="3" s="1"/>
  <c r="H45" i="3"/>
  <c r="E45" i="3"/>
  <c r="F45" i="3" s="1"/>
  <c r="G45" i="3" s="1"/>
  <c r="B45" i="3"/>
  <c r="C45" i="3" s="1"/>
  <c r="D45" i="3" s="1"/>
  <c r="H41" i="3"/>
  <c r="E41" i="3"/>
  <c r="F41" i="3" s="1"/>
  <c r="G41" i="3" s="1"/>
  <c r="B41" i="3"/>
  <c r="C41" i="3" s="1"/>
  <c r="D41" i="3" s="1"/>
  <c r="H32" i="3"/>
  <c r="E32" i="3"/>
  <c r="F32" i="3" s="1"/>
  <c r="G32" i="3" s="1"/>
  <c r="B32" i="3"/>
  <c r="C32" i="3" s="1"/>
  <c r="D32" i="3" s="1"/>
  <c r="H23" i="3"/>
  <c r="E23" i="3"/>
  <c r="B23" i="3"/>
  <c r="N13" i="8"/>
  <c r="J13" i="8"/>
  <c r="D13" i="8"/>
  <c r="H14" i="1"/>
  <c r="H15" i="1" s="1"/>
  <c r="H18" i="1" s="1"/>
  <c r="E14" i="1"/>
  <c r="E15" i="1" s="1"/>
  <c r="E18" i="1" s="1"/>
  <c r="E20" i="1" s="1"/>
  <c r="K10" i="1"/>
  <c r="K11" i="1"/>
  <c r="K12" i="1"/>
  <c r="K13" i="1"/>
  <c r="K14" i="1"/>
  <c r="K15" i="1"/>
  <c r="K17" i="1"/>
  <c r="K19" i="1"/>
  <c r="K21" i="1"/>
  <c r="K23" i="1"/>
  <c r="K24" i="1"/>
  <c r="K25" i="1"/>
  <c r="K26" i="1"/>
  <c r="K8" i="1"/>
  <c r="J10" i="1"/>
  <c r="J11" i="1"/>
  <c r="J12" i="1"/>
  <c r="J13" i="1"/>
  <c r="J14" i="1"/>
  <c r="J15" i="1"/>
  <c r="J17" i="1"/>
  <c r="J18" i="1"/>
  <c r="J19" i="1"/>
  <c r="J20" i="1"/>
  <c r="J21" i="1"/>
  <c r="J23" i="1"/>
  <c r="J24" i="1"/>
  <c r="J25" i="1"/>
  <c r="J26" i="1"/>
  <c r="J8" i="1"/>
  <c r="I10" i="1"/>
  <c r="I11" i="1"/>
  <c r="I12" i="1"/>
  <c r="I13" i="1"/>
  <c r="I17" i="1"/>
  <c r="I19" i="1"/>
  <c r="I21" i="1"/>
  <c r="I23" i="1"/>
  <c r="I24" i="1"/>
  <c r="I25" i="1"/>
  <c r="I26" i="1"/>
  <c r="I8" i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7" i="1"/>
  <c r="G17" i="1" s="1"/>
  <c r="F18" i="1"/>
  <c r="G18" i="1" s="1"/>
  <c r="F19" i="1"/>
  <c r="G19" i="1" s="1"/>
  <c r="F21" i="1"/>
  <c r="G21" i="1" s="1"/>
  <c r="F23" i="1"/>
  <c r="G23" i="1" s="1"/>
  <c r="F24" i="1"/>
  <c r="G24" i="1" s="1"/>
  <c r="F25" i="1"/>
  <c r="G25" i="1" s="1"/>
  <c r="F26" i="1"/>
  <c r="G26" i="1" s="1"/>
  <c r="F8" i="1"/>
  <c r="G8" i="1" s="1"/>
  <c r="C10" i="1"/>
  <c r="D10" i="1" s="1"/>
  <c r="C11" i="1"/>
  <c r="D11" i="1" s="1"/>
  <c r="C12" i="1"/>
  <c r="D12" i="1" s="1"/>
  <c r="C13" i="1"/>
  <c r="D13" i="1" s="1"/>
  <c r="C17" i="1"/>
  <c r="D17" i="1" s="1"/>
  <c r="C19" i="1"/>
  <c r="D19" i="1" s="1"/>
  <c r="C21" i="1"/>
  <c r="D21" i="1" s="1"/>
  <c r="C23" i="1"/>
  <c r="D23" i="1" s="1"/>
  <c r="C24" i="1"/>
  <c r="D24" i="1" s="1"/>
  <c r="C25" i="1"/>
  <c r="D25" i="1" s="1"/>
  <c r="C26" i="1"/>
  <c r="D26" i="1" s="1"/>
  <c r="C8" i="1"/>
  <c r="D8" i="1" s="1"/>
  <c r="B14" i="1"/>
  <c r="E46" i="9" l="1"/>
  <c r="H43" i="9"/>
  <c r="N14" i="8"/>
  <c r="O13" i="8"/>
  <c r="J14" i="8"/>
  <c r="K13" i="8"/>
  <c r="D14" i="8"/>
  <c r="E13" i="8"/>
  <c r="C6" i="4"/>
  <c r="C5" i="4"/>
  <c r="D6" i="4"/>
  <c r="D5" i="4"/>
  <c r="B23" i="4"/>
  <c r="B15" i="4"/>
  <c r="C23" i="4"/>
  <c r="C15" i="4"/>
  <c r="D23" i="4"/>
  <c r="D15" i="4"/>
  <c r="K14" i="5"/>
  <c r="L16" i="4"/>
  <c r="J23" i="4"/>
  <c r="J21" i="4"/>
  <c r="K23" i="4"/>
  <c r="K21" i="4"/>
  <c r="L23" i="4"/>
  <c r="L21" i="4"/>
  <c r="B6" i="4"/>
  <c r="B5" i="4"/>
  <c r="B15" i="1"/>
  <c r="I14" i="1"/>
  <c r="C14" i="1"/>
  <c r="D14" i="1" s="1"/>
  <c r="E22" i="1"/>
  <c r="K18" i="1"/>
  <c r="H20" i="1"/>
  <c r="C23" i="3"/>
  <c r="D23" i="3" s="1"/>
  <c r="C14" i="2"/>
  <c r="D14" i="2" s="1"/>
  <c r="F14" i="2"/>
  <c r="G14" i="2" s="1"/>
  <c r="E17" i="2"/>
  <c r="H17" i="2"/>
  <c r="C20" i="2"/>
  <c r="D20" i="2" s="1"/>
  <c r="F20" i="2"/>
  <c r="G20" i="2" s="1"/>
  <c r="C33" i="2"/>
  <c r="D33" i="2" s="1"/>
  <c r="B38" i="2"/>
  <c r="F33" i="2"/>
  <c r="G33" i="2" s="1"/>
  <c r="E38" i="2"/>
  <c r="H38" i="2"/>
  <c r="C46" i="2"/>
  <c r="D46" i="2" s="1"/>
  <c r="B48" i="2"/>
  <c r="F46" i="2"/>
  <c r="G46" i="2" s="1"/>
  <c r="E48" i="2"/>
  <c r="H48" i="2"/>
  <c r="I14" i="5"/>
  <c r="C14" i="5"/>
  <c r="D14" i="5" s="1"/>
  <c r="J14" i="5"/>
  <c r="F14" i="5"/>
  <c r="G14" i="5" s="1"/>
  <c r="B19" i="5"/>
  <c r="I17" i="5"/>
  <c r="C17" i="5"/>
  <c r="D17" i="5" s="1"/>
  <c r="E19" i="5"/>
  <c r="J17" i="5"/>
  <c r="F17" i="5"/>
  <c r="G17" i="5" s="1"/>
  <c r="H19" i="5"/>
  <c r="K19" i="5" s="1"/>
  <c r="K17" i="5"/>
  <c r="C12" i="6"/>
  <c r="D12" i="6" s="1"/>
  <c r="B20" i="6"/>
  <c r="F12" i="6"/>
  <c r="G12" i="6" s="1"/>
  <c r="E20" i="6"/>
  <c r="H20" i="6"/>
  <c r="I26" i="6"/>
  <c r="C26" i="6"/>
  <c r="D26" i="6" s="1"/>
  <c r="J26" i="6"/>
  <c r="F26" i="6"/>
  <c r="G26" i="6" s="1"/>
  <c r="K26" i="6"/>
  <c r="I39" i="6"/>
  <c r="C39" i="6"/>
  <c r="D39" i="6" s="1"/>
  <c r="B41" i="6"/>
  <c r="J39" i="6"/>
  <c r="F39" i="6"/>
  <c r="G39" i="6" s="1"/>
  <c r="E41" i="6"/>
  <c r="K39" i="6"/>
  <c r="H41" i="6"/>
  <c r="F23" i="3"/>
  <c r="G23" i="3" s="1"/>
  <c r="F20" i="4" l="1"/>
  <c r="F16" i="4"/>
  <c r="F22" i="4"/>
  <c r="K14" i="8"/>
  <c r="G20" i="4"/>
  <c r="G16" i="4"/>
  <c r="G22" i="4"/>
  <c r="H20" i="4"/>
  <c r="H16" i="4"/>
  <c r="H22" i="4"/>
  <c r="N15" i="4"/>
  <c r="N23" i="4"/>
  <c r="K43" i="9"/>
  <c r="K46" i="9" s="1"/>
  <c r="H46" i="9"/>
  <c r="E48" i="9"/>
  <c r="J17" i="8"/>
  <c r="N17" i="8"/>
  <c r="O14" i="8"/>
  <c r="J18" i="8"/>
  <c r="K18" i="8" s="1"/>
  <c r="K17" i="8"/>
  <c r="D17" i="8"/>
  <c r="E14" i="8"/>
  <c r="D14" i="4"/>
  <c r="C14" i="4"/>
  <c r="B13" i="4"/>
  <c r="B14" i="4"/>
  <c r="D4" i="4"/>
  <c r="C4" i="4"/>
  <c r="B22" i="4"/>
  <c r="K41" i="6"/>
  <c r="H42" i="6"/>
  <c r="K42" i="6" s="1"/>
  <c r="J41" i="6"/>
  <c r="F41" i="6"/>
  <c r="G41" i="6" s="1"/>
  <c r="E42" i="6"/>
  <c r="I41" i="6"/>
  <c r="C41" i="6"/>
  <c r="D41" i="6" s="1"/>
  <c r="B42" i="6"/>
  <c r="K8" i="6"/>
  <c r="K9" i="6"/>
  <c r="K10" i="6"/>
  <c r="K11" i="6"/>
  <c r="K13" i="6"/>
  <c r="K14" i="6"/>
  <c r="K15" i="6"/>
  <c r="K16" i="6"/>
  <c r="K17" i="6"/>
  <c r="K18" i="6"/>
  <c r="K19" i="6"/>
  <c r="K20" i="6"/>
  <c r="K22" i="6"/>
  <c r="K23" i="6"/>
  <c r="K24" i="6"/>
  <c r="K25" i="6"/>
  <c r="K27" i="6"/>
  <c r="K28" i="6"/>
  <c r="K29" i="6"/>
  <c r="K30" i="6"/>
  <c r="K31" i="6"/>
  <c r="K32" i="6"/>
  <c r="K34" i="6"/>
  <c r="K35" i="6"/>
  <c r="K36" i="6"/>
  <c r="K37" i="6"/>
  <c r="K38" i="6"/>
  <c r="K40" i="6"/>
  <c r="K7" i="6"/>
  <c r="K12" i="6"/>
  <c r="J8" i="6"/>
  <c r="J9" i="6"/>
  <c r="J10" i="6"/>
  <c r="J11" i="6"/>
  <c r="J13" i="6"/>
  <c r="J14" i="6"/>
  <c r="J15" i="6"/>
  <c r="J16" i="6"/>
  <c r="J17" i="6"/>
  <c r="J18" i="6"/>
  <c r="J19" i="6"/>
  <c r="J20" i="6"/>
  <c r="J22" i="6"/>
  <c r="J23" i="6"/>
  <c r="J24" i="6"/>
  <c r="J25" i="6"/>
  <c r="J27" i="6"/>
  <c r="J28" i="6"/>
  <c r="J29" i="6"/>
  <c r="J30" i="6"/>
  <c r="J31" i="6"/>
  <c r="J32" i="6"/>
  <c r="J34" i="6"/>
  <c r="J35" i="6"/>
  <c r="J36" i="6"/>
  <c r="J37" i="6"/>
  <c r="J38" i="6"/>
  <c r="J40" i="6"/>
  <c r="J7" i="6"/>
  <c r="F20" i="6"/>
  <c r="G20" i="6" s="1"/>
  <c r="J12" i="6"/>
  <c r="I8" i="6"/>
  <c r="I9" i="6"/>
  <c r="I10" i="6"/>
  <c r="I11" i="6"/>
  <c r="I13" i="6"/>
  <c r="I14" i="6"/>
  <c r="I15" i="6"/>
  <c r="I16" i="6"/>
  <c r="I17" i="6"/>
  <c r="I18" i="6"/>
  <c r="I19" i="6"/>
  <c r="I20" i="6"/>
  <c r="I22" i="6"/>
  <c r="I23" i="6"/>
  <c r="I24" i="6"/>
  <c r="I25" i="6"/>
  <c r="I27" i="6"/>
  <c r="I28" i="6"/>
  <c r="I29" i="6"/>
  <c r="I30" i="6"/>
  <c r="I31" i="6"/>
  <c r="I32" i="6"/>
  <c r="I34" i="6"/>
  <c r="I35" i="6"/>
  <c r="I36" i="6"/>
  <c r="I37" i="6"/>
  <c r="I38" i="6"/>
  <c r="I40" i="6"/>
  <c r="I7" i="6"/>
  <c r="C20" i="6"/>
  <c r="D20" i="6" s="1"/>
  <c r="I12" i="6"/>
  <c r="J19" i="5"/>
  <c r="F19" i="5"/>
  <c r="G19" i="5" s="1"/>
  <c r="I19" i="5"/>
  <c r="C19" i="5"/>
  <c r="D19" i="5" s="1"/>
  <c r="F48" i="2"/>
  <c r="G48" i="2" s="1"/>
  <c r="C48" i="2"/>
  <c r="D48" i="2" s="1"/>
  <c r="H49" i="2"/>
  <c r="F38" i="2"/>
  <c r="G38" i="2" s="1"/>
  <c r="E49" i="2"/>
  <c r="C38" i="2"/>
  <c r="D38" i="2" s="1"/>
  <c r="B49" i="2"/>
  <c r="H25" i="2"/>
  <c r="F17" i="2"/>
  <c r="G17" i="2" s="1"/>
  <c r="C17" i="2"/>
  <c r="D17" i="2" s="1"/>
  <c r="H22" i="1"/>
  <c r="K22" i="1" s="1"/>
  <c r="K20" i="1"/>
  <c r="F20" i="1"/>
  <c r="G20" i="1" s="1"/>
  <c r="J22" i="1"/>
  <c r="F22" i="1"/>
  <c r="G22" i="1" s="1"/>
  <c r="I15" i="1"/>
  <c r="C15" i="1"/>
  <c r="D15" i="1" s="1"/>
  <c r="B18" i="1"/>
  <c r="E49" i="9" l="1"/>
  <c r="N14" i="4"/>
  <c r="H48" i="9"/>
  <c r="O23" i="4"/>
  <c r="O15" i="4"/>
  <c r="K48" i="9"/>
  <c r="P23" i="4"/>
  <c r="P15" i="4"/>
  <c r="J19" i="8"/>
  <c r="G9" i="10"/>
  <c r="G24" i="10" s="1"/>
  <c r="G44" i="10" s="1"/>
  <c r="O17" i="8"/>
  <c r="N18" i="8"/>
  <c r="D18" i="8"/>
  <c r="E18" i="8" s="1"/>
  <c r="E17" i="8"/>
  <c r="C22" i="4"/>
  <c r="C7" i="4"/>
  <c r="C13" i="4"/>
  <c r="B7" i="4"/>
  <c r="D22" i="4"/>
  <c r="D7" i="4"/>
  <c r="D13" i="4"/>
  <c r="I18" i="1"/>
  <c r="C18" i="1"/>
  <c r="D18" i="1" s="1"/>
  <c r="B20" i="1"/>
  <c r="I27" i="2"/>
  <c r="I28" i="2"/>
  <c r="I29" i="2"/>
  <c r="I30" i="2"/>
  <c r="I31" i="2"/>
  <c r="I32" i="2"/>
  <c r="I34" i="2"/>
  <c r="I35" i="2"/>
  <c r="I36" i="2"/>
  <c r="I37" i="2"/>
  <c r="I41" i="2"/>
  <c r="I42" i="2"/>
  <c r="I43" i="2"/>
  <c r="I44" i="2"/>
  <c r="I45" i="2"/>
  <c r="I47" i="2"/>
  <c r="I8" i="2"/>
  <c r="I9" i="2"/>
  <c r="I11" i="2"/>
  <c r="I12" i="2"/>
  <c r="I13" i="2"/>
  <c r="I15" i="2"/>
  <c r="I16" i="2"/>
  <c r="I18" i="2"/>
  <c r="I19" i="2"/>
  <c r="I21" i="2"/>
  <c r="I22" i="2"/>
  <c r="I23" i="2"/>
  <c r="I24" i="2"/>
  <c r="I25" i="2"/>
  <c r="I7" i="2"/>
  <c r="C25" i="2"/>
  <c r="D25" i="2" s="1"/>
  <c r="I14" i="2"/>
  <c r="I20" i="2"/>
  <c r="I33" i="2"/>
  <c r="I46" i="2"/>
  <c r="I48" i="2"/>
  <c r="I38" i="2"/>
  <c r="I17" i="2"/>
  <c r="J27" i="2"/>
  <c r="J28" i="2"/>
  <c r="J29" i="2"/>
  <c r="J30" i="2"/>
  <c r="J31" i="2"/>
  <c r="J32" i="2"/>
  <c r="J34" i="2"/>
  <c r="J35" i="2"/>
  <c r="J36" i="2"/>
  <c r="J37" i="2"/>
  <c r="J41" i="2"/>
  <c r="J42" i="2"/>
  <c r="J43" i="2"/>
  <c r="J44" i="2"/>
  <c r="J45" i="2"/>
  <c r="J47" i="2"/>
  <c r="J8" i="2"/>
  <c r="J9" i="2"/>
  <c r="J11" i="2"/>
  <c r="J12" i="2"/>
  <c r="J13" i="2"/>
  <c r="J15" i="2"/>
  <c r="J16" i="2"/>
  <c r="J18" i="2"/>
  <c r="J19" i="2"/>
  <c r="J21" i="2"/>
  <c r="J22" i="2"/>
  <c r="J23" i="2"/>
  <c r="J24" i="2"/>
  <c r="J25" i="2"/>
  <c r="J7" i="2"/>
  <c r="F25" i="2"/>
  <c r="G25" i="2" s="1"/>
  <c r="J14" i="2"/>
  <c r="J20" i="2"/>
  <c r="J33" i="2"/>
  <c r="J46" i="2"/>
  <c r="J48" i="2"/>
  <c r="J38" i="2"/>
  <c r="J17" i="2"/>
  <c r="K27" i="2"/>
  <c r="K28" i="2"/>
  <c r="K29" i="2"/>
  <c r="K30" i="2"/>
  <c r="K31" i="2"/>
  <c r="K32" i="2"/>
  <c r="K34" i="2"/>
  <c r="K35" i="2"/>
  <c r="K36" i="2"/>
  <c r="K37" i="2"/>
  <c r="K41" i="2"/>
  <c r="K42" i="2"/>
  <c r="K43" i="2"/>
  <c r="K44" i="2"/>
  <c r="K45" i="2"/>
  <c r="K47" i="2"/>
  <c r="K8" i="2"/>
  <c r="K9" i="2"/>
  <c r="K11" i="2"/>
  <c r="K12" i="2"/>
  <c r="K13" i="2"/>
  <c r="K15" i="2"/>
  <c r="K16" i="2"/>
  <c r="K18" i="2"/>
  <c r="K19" i="2"/>
  <c r="K21" i="2"/>
  <c r="K22" i="2"/>
  <c r="K23" i="2"/>
  <c r="K24" i="2"/>
  <c r="K25" i="2"/>
  <c r="K7" i="2"/>
  <c r="K14" i="2"/>
  <c r="K20" i="2"/>
  <c r="K33" i="2"/>
  <c r="K46" i="2"/>
  <c r="K48" i="2"/>
  <c r="K38" i="2"/>
  <c r="K17" i="2"/>
  <c r="I49" i="2"/>
  <c r="C49" i="2"/>
  <c r="D49" i="2" s="1"/>
  <c r="J49" i="2"/>
  <c r="F49" i="2"/>
  <c r="G49" i="2" s="1"/>
  <c r="K49" i="2"/>
  <c r="I42" i="6"/>
  <c r="C42" i="6"/>
  <c r="D42" i="6" s="1"/>
  <c r="J42" i="6"/>
  <c r="F42" i="6"/>
  <c r="G42" i="6" s="1"/>
  <c r="K19" i="8" l="1"/>
  <c r="G26" i="4"/>
  <c r="G21" i="4"/>
  <c r="K49" i="9"/>
  <c r="P14" i="4"/>
  <c r="H49" i="9"/>
  <c r="O14" i="4"/>
  <c r="J21" i="8"/>
  <c r="K21" i="8" s="1"/>
  <c r="D19" i="8"/>
  <c r="N19" i="8"/>
  <c r="O18" i="8"/>
  <c r="D43" i="9"/>
  <c r="E19" i="8"/>
  <c r="D21" i="8"/>
  <c r="E21" i="8" s="1"/>
  <c r="I20" i="1"/>
  <c r="C20" i="1"/>
  <c r="D20" i="1" s="1"/>
  <c r="B22" i="1"/>
  <c r="J9" i="10" l="1"/>
  <c r="J24" i="10" s="1"/>
  <c r="J44" i="10" s="1"/>
  <c r="H26" i="4"/>
  <c r="H21" i="4"/>
  <c r="D9" i="10"/>
  <c r="D24" i="10" s="1"/>
  <c r="D44" i="10" s="1"/>
  <c r="F26" i="4"/>
  <c r="F21" i="4"/>
  <c r="G43" i="9"/>
  <c r="D46" i="9"/>
  <c r="N21" i="8"/>
  <c r="O21" i="8" s="1"/>
  <c r="O19" i="8"/>
  <c r="I22" i="1"/>
  <c r="C22" i="1"/>
  <c r="D22" i="1" s="1"/>
  <c r="B17" i="9"/>
  <c r="B25" i="9" s="1"/>
  <c r="F7" i="4" s="1"/>
  <c r="D48" i="9" l="1"/>
  <c r="D49" i="9" s="1"/>
  <c r="F15" i="4"/>
  <c r="F14" i="4"/>
  <c r="F23" i="4"/>
  <c r="J43" i="9"/>
  <c r="J46" i="9" s="1"/>
  <c r="G46" i="9"/>
  <c r="G48" i="9" l="1"/>
  <c r="G15" i="4"/>
  <c r="G23" i="4"/>
  <c r="J48" i="9"/>
  <c r="J49" i="9" s="1"/>
  <c r="H15" i="4"/>
  <c r="H14" i="4"/>
  <c r="H23" i="4"/>
  <c r="G49" i="9" l="1"/>
  <c r="G14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<sst xmlns="http://schemas.openxmlformats.org/spreadsheetml/2006/main" count="586" uniqueCount="266">
  <si>
    <t>3M</t>
  </si>
  <si>
    <t xml:space="preserve">Income Statement </t>
  </si>
  <si>
    <t>For Years Ended 2019, 2018, 2017</t>
  </si>
  <si>
    <t xml:space="preserve">$'s in Million </t>
  </si>
  <si>
    <t>Vertical Analysis</t>
  </si>
  <si>
    <t>12 Months Ended</t>
  </si>
  <si>
    <t>Dec. 31, 2019</t>
  </si>
  <si>
    <t>$ Change</t>
  </si>
  <si>
    <t>% Change</t>
  </si>
  <si>
    <t>Dec. 31, 2018</t>
  </si>
  <si>
    <t>Dec. 31, 2017</t>
  </si>
  <si>
    <t>Net sales</t>
  </si>
  <si>
    <t>Operating expenses:</t>
  </si>
  <si>
    <t>Cost of sales</t>
  </si>
  <si>
    <t>Selling, general and administrative expenses</t>
  </si>
  <si>
    <t>Research, development and related expenses</t>
  </si>
  <si>
    <t>Gain on sale of businesses</t>
  </si>
  <si>
    <t>Total operating expenses</t>
  </si>
  <si>
    <t>Operating income</t>
  </si>
  <si>
    <t>Interest expense and income</t>
  </si>
  <si>
    <t>Other expense (income), net</t>
  </si>
  <si>
    <t>Income before income taxes</t>
  </si>
  <si>
    <t>Provision for income taxes</t>
  </si>
  <si>
    <t>Net income including noncontrolling interest</t>
  </si>
  <si>
    <t>Less: Net income attributable to noncontrolling interest</t>
  </si>
  <si>
    <t>Net income attributable to 3M</t>
  </si>
  <si>
    <t>Weighted average 3M common shares outstanding - basic (in shares)</t>
  </si>
  <si>
    <t>Earnings per share attributable to 3M common shareholders - basic (in dollars per share)</t>
  </si>
  <si>
    <t>Weighted average 3M common shares outstanding - diluted (in shares)</t>
  </si>
  <si>
    <t>Earnings per share attributable to 3M common shareholders - diluted (in dollars per share)</t>
  </si>
  <si>
    <t xml:space="preserve">3M </t>
  </si>
  <si>
    <t xml:space="preserve">Balance Sheet </t>
  </si>
  <si>
    <t xml:space="preserve">For Years Ended 2019, 2018, 2017 </t>
  </si>
  <si>
    <t>$ in Millions</t>
  </si>
  <si>
    <t xml:space="preserve">Vertical </t>
  </si>
  <si>
    <t xml:space="preserve">% Change </t>
  </si>
  <si>
    <t>Current assets</t>
  </si>
  <si>
    <t>Cash and cash equivalents</t>
  </si>
  <si>
    <t>Marketable securities - current</t>
  </si>
  <si>
    <t>Accounts receivable - net of allowances of $161 and $95</t>
  </si>
  <si>
    <t>Inventories</t>
  </si>
  <si>
    <t>Finished goods</t>
  </si>
  <si>
    <t>Work in process</t>
  </si>
  <si>
    <t>Raw materials and supplies</t>
  </si>
  <si>
    <t>Total inventories</t>
  </si>
  <si>
    <t>Prepaids</t>
  </si>
  <si>
    <t>Other current assets</t>
  </si>
  <si>
    <t>Total current assets</t>
  </si>
  <si>
    <t>Property, plant and equipment</t>
  </si>
  <si>
    <t>Less: Accumulated depreciation</t>
  </si>
  <si>
    <t>Property, plant and equipment - net</t>
  </si>
  <si>
    <t>Operating lease right of use assets</t>
  </si>
  <si>
    <t>Goodwill</t>
  </si>
  <si>
    <t>Intangible assets - net</t>
  </si>
  <si>
    <t>Other assets</t>
  </si>
  <si>
    <t>Total assets</t>
  </si>
  <si>
    <t>Current liabilities</t>
  </si>
  <si>
    <t>Short-term borrowings and current portion of long-term debt</t>
  </si>
  <si>
    <t>Accounts payable</t>
  </si>
  <si>
    <t>Accrued payroll</t>
  </si>
  <si>
    <t>Accrued income taxes</t>
  </si>
  <si>
    <t>Operating lease liabilities - current</t>
  </si>
  <si>
    <t>Other current liabilities</t>
  </si>
  <si>
    <t>Total current liabilities</t>
  </si>
  <si>
    <t>Long-term debt</t>
  </si>
  <si>
    <t>Pension and postretirement benefits</t>
  </si>
  <si>
    <t>Operating lease liabilities</t>
  </si>
  <si>
    <t>Other liabilities</t>
  </si>
  <si>
    <t>Total liabilities</t>
  </si>
  <si>
    <t>Commitments and contingencies (Note 16)</t>
  </si>
  <si>
    <t>3M Company shareholders' equity:</t>
  </si>
  <si>
    <t>Common stock par value, $.01 par value; 944,033,056 shares issued; Shares outstanding - 2019: 575,184,835; Shares outstanding - 2018: 576,575,168</t>
  </si>
  <si>
    <t>Additional paid-in capital</t>
  </si>
  <si>
    <t>Retained earnings</t>
  </si>
  <si>
    <t>Treasury stock</t>
  </si>
  <si>
    <t>Accumulated other comprehensive income (loss)</t>
  </si>
  <si>
    <t>Total 3M Company shareholders' equity</t>
  </si>
  <si>
    <t>Noncontrolling interest</t>
  </si>
  <si>
    <t>Total equity</t>
  </si>
  <si>
    <t>Total liabilities and equity</t>
  </si>
  <si>
    <t>Stock price at close</t>
  </si>
  <si>
    <t>Statement of Cash Flows</t>
  </si>
  <si>
    <t>Cash Flows from Operating Activities</t>
  </si>
  <si>
    <t>Adjustments to reconcile net income including noncontrolling interest to net cash provided by operating activities</t>
  </si>
  <si>
    <t>Depreciation and amortization</t>
  </si>
  <si>
    <t>Company pension and postretirement contributions</t>
  </si>
  <si>
    <t>Company pension and postretirement expense</t>
  </si>
  <si>
    <t>Stock-based compensation expense</t>
  </si>
  <si>
    <t>Deferred income taxes</t>
  </si>
  <si>
    <t>Loss on deconsolidation of Venezuelan subsidiary</t>
  </si>
  <si>
    <t>-</t>
  </si>
  <si>
    <t>Changes in assets and liabilities</t>
  </si>
  <si>
    <t>Accounts receivable</t>
  </si>
  <si>
    <t>Accrued income taxes (current and long-term)</t>
  </si>
  <si>
    <t>Other - net</t>
  </si>
  <si>
    <t>Net cash provided by (used in) operating activities</t>
  </si>
  <si>
    <t>Cash Flows from Investing Activities</t>
  </si>
  <si>
    <t>Purchases of property, plant and equipment (PP&amp;E)</t>
  </si>
  <si>
    <t>Proceeds from sale of PP&amp;E and other assets</t>
  </si>
  <si>
    <t>Acquisitions, net of cash acquired</t>
  </si>
  <si>
    <t>Purchases of marketable securities and investments</t>
  </si>
  <si>
    <t>Proceeds from maturities and sale of marketable securities and investments</t>
  </si>
  <si>
    <t>Proceeds from sale of businesses, net of cash sold</t>
  </si>
  <si>
    <t>Net cash provided by (used in) investing activities</t>
  </si>
  <si>
    <t>Cash Flows from Financing Activities</t>
  </si>
  <si>
    <t>Change in short-term debt - net</t>
  </si>
  <si>
    <t>Repayment of debt (maturities greater than 90 days)</t>
  </si>
  <si>
    <t>Proceeds from debt (maturities greater than 90 days)</t>
  </si>
  <si>
    <t>Purchases of treasury stock</t>
  </si>
  <si>
    <t>Proceeds from issuance of treasury stock pursuant to stock option and benefit plans</t>
  </si>
  <si>
    <t>Dividends paid to shareholders</t>
  </si>
  <si>
    <t>Net cash provided by (used in) financing activities</t>
  </si>
  <si>
    <t>Effect of exchange rate changes on cash and cash equivalents</t>
  </si>
  <si>
    <t>Net increase (decrease) in cash and cash equivalents</t>
  </si>
  <si>
    <t>Cash and cash equivalents at beginning of year</t>
  </si>
  <si>
    <t>Cash and cash equivalents at end of period</t>
  </si>
  <si>
    <t>Three M</t>
  </si>
  <si>
    <t>Three M Forecasted Ratios for "without" Strategy</t>
  </si>
  <si>
    <t>Honeywell</t>
  </si>
  <si>
    <t>Three M Forecasted Ratios for "with" Strategy</t>
  </si>
  <si>
    <t>Liquidity Ratios</t>
  </si>
  <si>
    <t>Current Ratio</t>
  </si>
  <si>
    <t>Quick Ratio</t>
  </si>
  <si>
    <t>Inventory Turnover</t>
  </si>
  <si>
    <t>Days in Inventory</t>
  </si>
  <si>
    <t>Total Asset Turnover</t>
  </si>
  <si>
    <t>Fixed Asset Turnover</t>
  </si>
  <si>
    <t>Accounts Receivable Turnover</t>
  </si>
  <si>
    <t>Days in AR</t>
  </si>
  <si>
    <t>Leverage/Solvency Ratios</t>
  </si>
  <si>
    <t>Debt to Total Assets</t>
  </si>
  <si>
    <t xml:space="preserve">Debt to Equity </t>
  </si>
  <si>
    <t>Long-Term Debt to Equity</t>
  </si>
  <si>
    <t>Times Interest Earned</t>
  </si>
  <si>
    <t>Profitability Ratios</t>
  </si>
  <si>
    <t>Gross Profit Margin</t>
  </si>
  <si>
    <t>Operating Profit Margin</t>
  </si>
  <si>
    <t>Net Profit Margin</t>
  </si>
  <si>
    <t>Return on Total Assets</t>
  </si>
  <si>
    <t>Return on Stockholders Equity</t>
  </si>
  <si>
    <t>Market Prospects</t>
  </si>
  <si>
    <t>Earnings per Share</t>
  </si>
  <si>
    <t>Price-Earnings Ratio</t>
  </si>
  <si>
    <t>N/A</t>
  </si>
  <si>
    <t xml:space="preserve">Proforma Income Statement </t>
  </si>
  <si>
    <t>For Years Ended 2021, 2022, 2023</t>
  </si>
  <si>
    <t>Dec. 31, 2021</t>
  </si>
  <si>
    <t>Dec. 31, 2022</t>
  </si>
  <si>
    <t>Dec. 31, 2023</t>
  </si>
  <si>
    <t>Dec. 31, 2020</t>
  </si>
  <si>
    <t xml:space="preserve">% Increase </t>
  </si>
  <si>
    <t xml:space="preserve">Without Strategy </t>
  </si>
  <si>
    <t>% Increase</t>
  </si>
  <si>
    <t xml:space="preserve">With Strategy </t>
  </si>
  <si>
    <t>Without Strategy</t>
  </si>
  <si>
    <t>With Strategy</t>
  </si>
  <si>
    <t xml:space="preserve">Proforma Balance Sheet </t>
  </si>
  <si>
    <t>For Years 2021, 2022, 2023</t>
  </si>
  <si>
    <t>Dec. 31 2023</t>
  </si>
  <si>
    <t>Labor for year</t>
  </si>
  <si>
    <t>Stick Packs</t>
  </si>
  <si>
    <t>Year 2021</t>
  </si>
  <si>
    <t>Units per year</t>
  </si>
  <si>
    <t>Year 2022</t>
  </si>
  <si>
    <t>Units Per Year</t>
  </si>
  <si>
    <t>Year 2023</t>
  </si>
  <si>
    <t>Totals</t>
  </si>
  <si>
    <t>Per Unit</t>
  </si>
  <si>
    <t>Sales</t>
  </si>
  <si>
    <t>NPV</t>
  </si>
  <si>
    <t>Direct Costs</t>
  </si>
  <si>
    <t>Raw Materials</t>
  </si>
  <si>
    <t>IRR</t>
  </si>
  <si>
    <t xml:space="preserve">Labor </t>
  </si>
  <si>
    <t>total Direct Costs</t>
  </si>
  <si>
    <t>Indirect Costs</t>
  </si>
  <si>
    <t>Total Income (Cost) Per Year</t>
  </si>
  <si>
    <t xml:space="preserve">Facility branding </t>
  </si>
  <si>
    <t>Benefits(20%)</t>
  </si>
  <si>
    <t xml:space="preserve">Training </t>
  </si>
  <si>
    <t xml:space="preserve">Recruiting </t>
  </si>
  <si>
    <t>Insurance</t>
  </si>
  <si>
    <t xml:space="preserve">Utilities </t>
  </si>
  <si>
    <t>Phone/Internet</t>
  </si>
  <si>
    <t>Furniture &amp; Fixtures</t>
  </si>
  <si>
    <t xml:space="preserve">Advertising </t>
  </si>
  <si>
    <t>Transportation</t>
  </si>
  <si>
    <t>Total Costs</t>
  </si>
  <si>
    <t>Net Income</t>
  </si>
  <si>
    <t>Pouches</t>
  </si>
  <si>
    <t xml:space="preserve"> </t>
  </si>
  <si>
    <t>Total of both products</t>
  </si>
  <si>
    <t>$'s in Millions</t>
  </si>
  <si>
    <t>Net Sales</t>
  </si>
  <si>
    <t xml:space="preserve">Costs and Expenses </t>
  </si>
  <si>
    <t>Cost of products and services sold</t>
  </si>
  <si>
    <t>Other (income) expense</t>
  </si>
  <si>
    <t>Interest and other financial charges</t>
  </si>
  <si>
    <t>Cost, operating and non-operating expenses</t>
  </si>
  <si>
    <t>Income before taxes</t>
  </si>
  <si>
    <t>Tax expense</t>
  </si>
  <si>
    <t>Net income</t>
  </si>
  <si>
    <t>Less: Net income attributable to the noncontrolling interest</t>
  </si>
  <si>
    <t>Net income attributable to Honeywell</t>
  </si>
  <si>
    <t>Earnings per share of common stock - basic</t>
  </si>
  <si>
    <t>Earnings per share of common stock - assuming dilution</t>
  </si>
  <si>
    <t>Balance Sheet</t>
  </si>
  <si>
    <t>For Year Ended 2019, 2018, 2017</t>
  </si>
  <si>
    <t xml:space="preserve">Assets, Current </t>
  </si>
  <si>
    <t>Short-term investments</t>
  </si>
  <si>
    <t>Accounts receivable - net</t>
  </si>
  <si>
    <t>Investments and long-term receivables</t>
  </si>
  <si>
    <t>Other intangible assets - net</t>
  </si>
  <si>
    <t>Insurance recoveries for asbestos related liabilities</t>
  </si>
  <si>
    <t xml:space="preserve">Liabilities, Current </t>
  </si>
  <si>
    <t>Commercial paper and other short-term borrowings</t>
  </si>
  <si>
    <t>Current maturities of long-term debt</t>
  </si>
  <si>
    <t>Accrued liabilities</t>
  </si>
  <si>
    <t>Postretirement benefit obligations other than pensions</t>
  </si>
  <si>
    <t>Asbestos related liabilities</t>
  </si>
  <si>
    <t>Redeemable noncontrolling interest</t>
  </si>
  <si>
    <t xml:space="preserve">SHAREOWNERS' EQUITY </t>
  </si>
  <si>
    <t>Capital - common stock issued</t>
  </si>
  <si>
    <t>Capital - additional paid in capital</t>
  </si>
  <si>
    <t>Common stock held in treasury, at cost</t>
  </si>
  <si>
    <t>Total Honeywell shareowners' equity</t>
  </si>
  <si>
    <t>Total shareowners' equity</t>
  </si>
  <si>
    <t>Total liabilities, redeemable noncontrolling interest, and shareowners' equity</t>
  </si>
  <si>
    <t>Share Price at close</t>
  </si>
  <si>
    <t xml:space="preserve">Statement of Cash Flows </t>
  </si>
  <si>
    <t xml:space="preserve">$ in Millions </t>
  </si>
  <si>
    <t xml:space="preserve">12 Months Ended </t>
  </si>
  <si>
    <t xml:space="preserve">Net Cash Provided by (Used in) Operating Activities </t>
  </si>
  <si>
    <t xml:space="preserve">Adjustments to reconcile net income attributable to Honeywell to net cash provided by operating activities </t>
  </si>
  <si>
    <t>Depreciation</t>
  </si>
  <si>
    <t>Amortization</t>
  </si>
  <si>
    <t>{Gain) loss on sale of non-strategic businesses and assets</t>
  </si>
  <si>
    <t>Repositioning and other charges</t>
  </si>
  <si>
    <t>Net payments for repositioning and other charges</t>
  </si>
  <si>
    <t>Pension and other postretirement income</t>
  </si>
  <si>
    <t>Pension and other postretirement benefit payments</t>
  </si>
  <si>
    <t>Stock compensation expense</t>
  </si>
  <si>
    <t>Other</t>
  </si>
  <si>
    <t>Changes in assets and liabilities, net of the effects of acquisitions and divestitures: [Abstract]</t>
  </si>
  <si>
    <t>Net cash provided by (used for) operating activities</t>
  </si>
  <si>
    <t xml:space="preserve">Cash flows from investing activities: </t>
  </si>
  <si>
    <t>Cash flows from investing activities: [Abstract]</t>
  </si>
  <si>
    <t>Expenditures for property, plant and equipment</t>
  </si>
  <si>
    <t>Proceeds from disposals of property, plant and equipment</t>
  </si>
  <si>
    <t>Increase in investments</t>
  </si>
  <si>
    <t>Decrease in investments</t>
  </si>
  <si>
    <t>Cash paid for acquisitions, net of cash acquired</t>
  </si>
  <si>
    <t>Net cash provided by (used for) investing activities</t>
  </si>
  <si>
    <t xml:space="preserve">Cash flows from financing activities: </t>
  </si>
  <si>
    <t>Proceeds from issuance of commercial paper and other short-term borrowings</t>
  </si>
  <si>
    <t>Payments of commercial paper and other short-term borrowings</t>
  </si>
  <si>
    <t>Proceeds from issuance of common stock</t>
  </si>
  <si>
    <t>Proceeds from issuance of long-term debt</t>
  </si>
  <si>
    <t>Payments of long-term debt</t>
  </si>
  <si>
    <t>Repurchases of common stock</t>
  </si>
  <si>
    <t>Cash dividends paid</t>
  </si>
  <si>
    <t>Pre-separation funding</t>
  </si>
  <si>
    <t>Spin-off cash</t>
  </si>
  <si>
    <t>Net cash provided by (used for) financing activities</t>
  </si>
  <si>
    <t>Effect of foreign exchange rate changes on cash and cash equivalents</t>
  </si>
  <si>
    <t>Cash and cash equivalents at beginning of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</si>
</sst>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  <numFmt numFmtId="167" formatCode="#,##0.0"/>
    <numFmt numFmtId="168" formatCode="&quot;$&quot;#,##0.00"/>
    <numFmt numFmtId="169" formatCode="_([$$-409]* #,##0.00_);_([$$-409]* \(#,##0.00\);_([$$-409]* &quot;-&quot;??_);_(@_)"/>
    <numFmt numFmtId="170" formatCode="0.00000"/>
    <numFmt numFmtId="171" formatCode="_(* #,##0.000_);_(* \(#,##0.000\);_(* &quot;-&quot;??_);_(@_)"/>
    <numFmt numFmtId="172" formatCode="_(* #,##0.0000_);_(* \(#,##0.0000\);_(* &quot;-&quot;??_);_(@_)"/>
    <numFmt numFmtId="176" formatCode="_([$$-409]* #,##0_);_([$$-409]* \(#,##0\);_([$$-409]* &quot;-&quot;??_);_(@_)"/>
  </numFmts>
  <fonts count="10">
    <font>
      <sz val="12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rgb="FF444444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3" fillId="0" borderId="0" applyFont="0" applyFill="0" applyBorder="0" applyAlignment="0" applyProtection="0"/>
    <xf numFmtId="0" fontId="3" fillId="8" borderId="0" applyNumberFormat="0" applyBorder="0" applyAlignment="0" applyProtection="0"/>
    <xf numFmtId="0" fontId="1" fillId="9" borderId="0" applyNumberFormat="0" applyBorder="0" applyAlignment="0" applyProtection="0"/>
  </cellStyleXfs>
  <cellXfs count="161">
    <xf numFmtId="0" fontId="0" fillId="0" borderId="0" xfId="0"/>
    <xf numFmtId="0" fontId="4" fillId="0" borderId="0" xfId="0" applyFont="1"/>
    <xf numFmtId="0" fontId="6" fillId="0" borderId="0" xfId="0" applyFont="1"/>
    <xf numFmtId="0" fontId="0" fillId="0" borderId="1" xfId="0" applyBorder="1"/>
    <xf numFmtId="0" fontId="5" fillId="0" borderId="0" xfId="0" applyFont="1"/>
    <xf numFmtId="0" fontId="0" fillId="0" borderId="0" xfId="0" applyBorder="1"/>
    <xf numFmtId="9" fontId="3" fillId="2" borderId="0" xfId="3" applyNumberFormat="1"/>
    <xf numFmtId="9" fontId="3" fillId="2" borderId="1" xfId="3" applyNumberFormat="1" applyBorder="1"/>
    <xf numFmtId="9" fontId="3" fillId="2" borderId="2" xfId="3" applyNumberFormat="1" applyBorder="1"/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 wrapText="1"/>
    </xf>
    <xf numFmtId="6" fontId="0" fillId="0" borderId="0" xfId="0" applyNumberFormat="1"/>
    <xf numFmtId="3" fontId="0" fillId="0" borderId="0" xfId="0" applyNumberFormat="1"/>
    <xf numFmtId="8" fontId="0" fillId="0" borderId="0" xfId="0" applyNumberFormat="1"/>
    <xf numFmtId="6" fontId="6" fillId="0" borderId="0" xfId="0" applyNumberFormat="1" applyFont="1"/>
    <xf numFmtId="9" fontId="3" fillId="2" borderId="0" xfId="3" applyNumberFormat="1" applyBorder="1"/>
    <xf numFmtId="6" fontId="0" fillId="0" borderId="0" xfId="0" applyNumberFormat="1" applyBorder="1"/>
    <xf numFmtId="8" fontId="0" fillId="0" borderId="0" xfId="0" applyNumberFormat="1" applyBorder="1"/>
    <xf numFmtId="0" fontId="0" fillId="0" borderId="0" xfId="0" applyFont="1"/>
    <xf numFmtId="6" fontId="5" fillId="0" borderId="0" xfId="0" applyNumberFormat="1" applyFont="1"/>
    <xf numFmtId="6" fontId="0" fillId="0" borderId="2" xfId="0" applyNumberFormat="1" applyBorder="1"/>
    <xf numFmtId="165" fontId="3" fillId="2" borderId="0" xfId="1" applyNumberFormat="1" applyFill="1" applyBorder="1"/>
    <xf numFmtId="164" fontId="3" fillId="2" borderId="0" xfId="2" applyNumberFormat="1" applyFill="1" applyBorder="1"/>
    <xf numFmtId="165" fontId="3" fillId="2" borderId="1" xfId="1" applyNumberFormat="1" applyFill="1" applyBorder="1"/>
    <xf numFmtId="165" fontId="3" fillId="2" borderId="3" xfId="1" applyNumberFormat="1" applyFill="1" applyBorder="1"/>
    <xf numFmtId="9" fontId="3" fillId="2" borderId="3" xfId="3" applyNumberFormat="1" applyBorder="1"/>
    <xf numFmtId="164" fontId="3" fillId="2" borderId="2" xfId="2" applyNumberFormat="1" applyFill="1" applyBorder="1"/>
    <xf numFmtId="0" fontId="4" fillId="0" borderId="4" xfId="0" applyFont="1" applyBorder="1"/>
    <xf numFmtId="166" fontId="3" fillId="2" borderId="0" xfId="3" applyNumberFormat="1"/>
    <xf numFmtId="165" fontId="3" fillId="2" borderId="0" xfId="3" applyNumberFormat="1"/>
    <xf numFmtId="165" fontId="3" fillId="2" borderId="1" xfId="3" applyNumberFormat="1" applyBorder="1"/>
    <xf numFmtId="166" fontId="3" fillId="2" borderId="2" xfId="3" applyNumberFormat="1" applyBorder="1"/>
    <xf numFmtId="165" fontId="3" fillId="2" borderId="2" xfId="3" applyNumberFormat="1" applyBorder="1"/>
    <xf numFmtId="167" fontId="0" fillId="0" borderId="0" xfId="0" applyNumberFormat="1"/>
    <xf numFmtId="166" fontId="0" fillId="0" borderId="0" xfId="0" applyNumberFormat="1"/>
    <xf numFmtId="1" fontId="0" fillId="0" borderId="0" xfId="0" applyNumberFormat="1"/>
    <xf numFmtId="10" fontId="0" fillId="0" borderId="0" xfId="0" applyNumberFormat="1"/>
    <xf numFmtId="2" fontId="0" fillId="0" borderId="0" xfId="0" applyNumberFormat="1"/>
    <xf numFmtId="0" fontId="0" fillId="4" borderId="0" xfId="0" applyFill="1"/>
    <xf numFmtId="0" fontId="0" fillId="5" borderId="0" xfId="0" applyFill="1"/>
    <xf numFmtId="2" fontId="0" fillId="4" borderId="0" xfId="0" applyNumberFormat="1" applyFill="1"/>
    <xf numFmtId="164" fontId="3" fillId="2" borderId="0" xfId="3" applyNumberFormat="1"/>
    <xf numFmtId="0" fontId="3" fillId="2" borderId="0" xfId="3" applyAlignment="1">
      <alignment horizontal="center"/>
    </xf>
    <xf numFmtId="0" fontId="3" fillId="2" borderId="4" xfId="3" applyBorder="1" applyAlignment="1">
      <alignment horizontal="center"/>
    </xf>
    <xf numFmtId="0" fontId="3" fillId="3" borderId="0" xfId="4"/>
    <xf numFmtId="0" fontId="2" fillId="6" borderId="4" xfId="5" applyBorder="1" applyAlignment="1">
      <alignment horizontal="center"/>
    </xf>
    <xf numFmtId="166" fontId="2" fillId="6" borderId="0" xfId="5" applyNumberFormat="1"/>
    <xf numFmtId="9" fontId="2" fillId="6" borderId="0" xfId="5" applyNumberFormat="1"/>
    <xf numFmtId="165" fontId="2" fillId="6" borderId="0" xfId="5" applyNumberFormat="1"/>
    <xf numFmtId="165" fontId="2" fillId="6" borderId="1" xfId="5" applyNumberFormat="1" applyBorder="1"/>
    <xf numFmtId="9" fontId="2" fillId="6" borderId="1" xfId="5" applyNumberFormat="1" applyBorder="1"/>
    <xf numFmtId="166" fontId="2" fillId="6" borderId="2" xfId="5" applyNumberFormat="1" applyBorder="1"/>
    <xf numFmtId="9" fontId="2" fillId="6" borderId="2" xfId="5" applyNumberFormat="1" applyBorder="1"/>
    <xf numFmtId="165" fontId="2" fillId="6" borderId="2" xfId="5" applyNumberFormat="1" applyBorder="1"/>
    <xf numFmtId="10" fontId="2" fillId="6" borderId="0" xfId="5" applyNumberFormat="1"/>
    <xf numFmtId="9" fontId="2" fillId="6" borderId="5" xfId="5" applyNumberFormat="1" applyBorder="1"/>
    <xf numFmtId="166" fontId="2" fillId="6" borderId="6" xfId="5" applyNumberFormat="1" applyBorder="1"/>
    <xf numFmtId="9" fontId="2" fillId="6" borderId="6" xfId="5" applyNumberFormat="1" applyBorder="1"/>
    <xf numFmtId="6" fontId="2" fillId="6" borderId="0" xfId="5" applyNumberFormat="1"/>
    <xf numFmtId="6" fontId="2" fillId="6" borderId="6" xfId="5" applyNumberFormat="1" applyBorder="1"/>
    <xf numFmtId="0" fontId="8" fillId="0" borderId="0" xfId="0" applyFont="1" applyFill="1" applyBorder="1" applyAlignment="1">
      <alignment wrapText="1"/>
    </xf>
    <xf numFmtId="8" fontId="8" fillId="0" borderId="0" xfId="0" applyNumberFormat="1" applyFont="1" applyFill="1" applyBorder="1" applyAlignment="1"/>
    <xf numFmtId="6" fontId="8" fillId="0" borderId="0" xfId="0" applyNumberFormat="1" applyFont="1" applyFill="1" applyBorder="1" applyAlignment="1"/>
    <xf numFmtId="9" fontId="2" fillId="6" borderId="0" xfId="5" applyNumberFormat="1" applyBorder="1"/>
    <xf numFmtId="168" fontId="2" fillId="6" borderId="0" xfId="5" applyNumberFormat="1" applyBorder="1"/>
    <xf numFmtId="44" fontId="0" fillId="0" borderId="0" xfId="0" applyNumberFormat="1"/>
    <xf numFmtId="169" fontId="0" fillId="0" borderId="0" xfId="0" applyNumberFormat="1"/>
    <xf numFmtId="10" fontId="4" fillId="0" borderId="0" xfId="0" applyNumberFormat="1" applyFont="1"/>
    <xf numFmtId="10" fontId="0" fillId="0" borderId="0" xfId="0" applyNumberFormat="1" applyFont="1"/>
    <xf numFmtId="1" fontId="4" fillId="0" borderId="0" xfId="0" applyNumberFormat="1" applyFont="1"/>
    <xf numFmtId="164" fontId="0" fillId="0" borderId="0" xfId="0" quotePrefix="1" applyNumberFormat="1" applyFill="1"/>
    <xf numFmtId="164" fontId="0" fillId="0" borderId="0" xfId="0" applyNumberFormat="1"/>
    <xf numFmtId="0" fontId="3" fillId="2" borderId="0" xfId="3"/>
    <xf numFmtId="0" fontId="0" fillId="0" borderId="0" xfId="0" applyFill="1"/>
    <xf numFmtId="10" fontId="0" fillId="0" borderId="0" xfId="0" applyNumberFormat="1" applyFill="1"/>
    <xf numFmtId="165" fontId="0" fillId="0" borderId="1" xfId="0" applyNumberFormat="1" applyBorder="1"/>
    <xf numFmtId="165" fontId="0" fillId="0" borderId="0" xfId="0" applyNumberFormat="1"/>
    <xf numFmtId="165" fontId="0" fillId="0" borderId="3" xfId="0" applyNumberFormat="1" applyBorder="1"/>
    <xf numFmtId="164" fontId="0" fillId="0" borderId="2" xfId="0" applyNumberFormat="1" applyBorder="1"/>
    <xf numFmtId="170" fontId="0" fillId="0" borderId="0" xfId="0" applyNumberFormat="1"/>
    <xf numFmtId="43" fontId="0" fillId="0" borderId="0" xfId="0" applyNumberFormat="1"/>
    <xf numFmtId="165" fontId="3" fillId="8" borderId="0" xfId="8" applyNumberFormat="1"/>
    <xf numFmtId="165" fontId="3" fillId="8" borderId="1" xfId="8" applyNumberFormat="1" applyBorder="1"/>
    <xf numFmtId="0" fontId="3" fillId="2" borderId="0" xfId="3" applyBorder="1"/>
    <xf numFmtId="165" fontId="0" fillId="5" borderId="0" xfId="0" applyNumberFormat="1" applyFill="1"/>
    <xf numFmtId="164" fontId="0" fillId="0" borderId="6" xfId="0" applyNumberFormat="1" applyBorder="1"/>
    <xf numFmtId="165" fontId="3" fillId="8" borderId="0" xfId="8" applyNumberFormat="1" applyBorder="1"/>
    <xf numFmtId="0" fontId="0" fillId="0" borderId="2" xfId="0" applyBorder="1"/>
    <xf numFmtId="165" fontId="0" fillId="0" borderId="5" xfId="0" applyNumberFormat="1" applyBorder="1"/>
    <xf numFmtId="0" fontId="4" fillId="0" borderId="0" xfId="0" applyFont="1" applyBorder="1"/>
    <xf numFmtId="6" fontId="3" fillId="8" borderId="0" xfId="8" applyNumberFormat="1"/>
    <xf numFmtId="0" fontId="3" fillId="8" borderId="0" xfId="8"/>
    <xf numFmtId="6" fontId="3" fillId="8" borderId="2" xfId="8" applyNumberFormat="1" applyBorder="1"/>
    <xf numFmtId="0" fontId="4" fillId="0" borderId="0" xfId="0" applyFont="1" applyAlignment="1"/>
    <xf numFmtId="43" fontId="0" fillId="0" borderId="5" xfId="0" applyNumberFormat="1" applyBorder="1"/>
    <xf numFmtId="165" fontId="0" fillId="0" borderId="9" xfId="0" applyNumberFormat="1" applyBorder="1"/>
    <xf numFmtId="165" fontId="0" fillId="0" borderId="6" xfId="0" applyNumberFormat="1" applyBorder="1"/>
    <xf numFmtId="171" fontId="0" fillId="0" borderId="0" xfId="0" applyNumberFormat="1"/>
    <xf numFmtId="172" fontId="0" fillId="0" borderId="0" xfId="0" applyNumberFormat="1"/>
    <xf numFmtId="172" fontId="0" fillId="0" borderId="5" xfId="0" applyNumberFormat="1" applyBorder="1"/>
    <xf numFmtId="171" fontId="0" fillId="0" borderId="5" xfId="0" applyNumberFormat="1" applyBorder="1"/>
    <xf numFmtId="165" fontId="0" fillId="2" borderId="0" xfId="3" applyNumberFormat="1" applyFont="1"/>
    <xf numFmtId="43" fontId="0" fillId="0" borderId="0" xfId="0" applyNumberFormat="1" applyFont="1"/>
    <xf numFmtId="165" fontId="0" fillId="0" borderId="0" xfId="0" applyNumberFormat="1" applyBorder="1"/>
    <xf numFmtId="6" fontId="3" fillId="2" borderId="0" xfId="3" applyNumberFormat="1" applyBorder="1"/>
    <xf numFmtId="165" fontId="3" fillId="2" borderId="0" xfId="3" applyNumberFormat="1" applyBorder="1"/>
    <xf numFmtId="165" fontId="3" fillId="2" borderId="3" xfId="3" applyNumberFormat="1" applyBorder="1"/>
    <xf numFmtId="166" fontId="3" fillId="2" borderId="0" xfId="3" applyNumberFormat="1" applyBorder="1"/>
    <xf numFmtId="165" fontId="3" fillId="2" borderId="0" xfId="3" applyNumberFormat="1" applyBorder="1" applyAlignment="1">
      <alignment horizontal="right"/>
    </xf>
    <xf numFmtId="165" fontId="3" fillId="2" borderId="3" xfId="3" applyNumberFormat="1" applyBorder="1" applyAlignment="1">
      <alignment horizontal="right"/>
    </xf>
    <xf numFmtId="165" fontId="3" fillId="2" borderId="1" xfId="3" applyNumberFormat="1" applyBorder="1" applyAlignment="1">
      <alignment horizontal="right"/>
    </xf>
    <xf numFmtId="6" fontId="3" fillId="2" borderId="0" xfId="3" applyNumberFormat="1"/>
    <xf numFmtId="165" fontId="3" fillId="2" borderId="0" xfId="3" applyNumberFormat="1" applyAlignment="1">
      <alignment horizontal="right"/>
    </xf>
    <xf numFmtId="9" fontId="0" fillId="0" borderId="0" xfId="7" applyFont="1"/>
    <xf numFmtId="6" fontId="3" fillId="8" borderId="0" xfId="8" applyNumberFormat="1" applyBorder="1"/>
    <xf numFmtId="0" fontId="3" fillId="8" borderId="0" xfId="8" applyBorder="1"/>
    <xf numFmtId="0" fontId="4" fillId="0" borderId="4" xfId="0" applyFont="1" applyBorder="1" applyAlignment="1"/>
    <xf numFmtId="10" fontId="4" fillId="0" borderId="4" xfId="0" applyNumberFormat="1" applyFont="1" applyBorder="1" applyAlignment="1">
      <alignment horizontal="center"/>
    </xf>
    <xf numFmtId="10" fontId="0" fillId="0" borderId="3" xfId="0" applyNumberFormat="1" applyFont="1" applyBorder="1"/>
    <xf numFmtId="9" fontId="0" fillId="0" borderId="3" xfId="7" applyFont="1" applyBorder="1"/>
    <xf numFmtId="0" fontId="0" fillId="0" borderId="3" xfId="0" applyBorder="1"/>
    <xf numFmtId="10" fontId="0" fillId="0" borderId="3" xfId="0" applyNumberFormat="1" applyBorder="1"/>
    <xf numFmtId="10" fontId="0" fillId="0" borderId="1" xfId="0" applyNumberFormat="1" applyBorder="1"/>
    <xf numFmtId="9" fontId="0" fillId="0" borderId="1" xfId="7" applyFont="1" applyBorder="1"/>
    <xf numFmtId="10" fontId="0" fillId="0" borderId="2" xfId="0" applyNumberFormat="1" applyBorder="1"/>
    <xf numFmtId="9" fontId="0" fillId="0" borderId="2" xfId="7" applyFont="1" applyBorder="1"/>
    <xf numFmtId="6" fontId="3" fillId="2" borderId="2" xfId="3" applyNumberFormat="1" applyBorder="1"/>
    <xf numFmtId="10" fontId="0" fillId="0" borderId="0" xfId="7" applyNumberFormat="1" applyFont="1"/>
    <xf numFmtId="0" fontId="3" fillId="3" borderId="0" xfId="4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3" fontId="0" fillId="0" borderId="0" xfId="1" applyFont="1"/>
    <xf numFmtId="164" fontId="0" fillId="0" borderId="0" xfId="2" applyNumberFormat="1" applyFont="1"/>
    <xf numFmtId="164" fontId="3" fillId="8" borderId="0" xfId="2" applyNumberFormat="1" applyFill="1"/>
    <xf numFmtId="164" fontId="3" fillId="2" borderId="0" xfId="2" applyNumberFormat="1" applyFill="1"/>
    <xf numFmtId="164" fontId="0" fillId="0" borderId="2" xfId="2" applyNumberFormat="1" applyFont="1" applyBorder="1"/>
    <xf numFmtId="164" fontId="3" fillId="8" borderId="2" xfId="2" applyNumberFormat="1" applyFill="1" applyBorder="1"/>
    <xf numFmtId="164" fontId="0" fillId="0" borderId="8" xfId="2" applyNumberFormat="1" applyFont="1" applyBorder="1"/>
    <xf numFmtId="164" fontId="0" fillId="0" borderId="6" xfId="2" applyNumberFormat="1" applyFont="1" applyBorder="1"/>
    <xf numFmtId="9" fontId="0" fillId="0" borderId="0" xfId="0" applyNumberFormat="1"/>
    <xf numFmtId="0" fontId="0" fillId="0" borderId="0" xfId="0" applyAlignment="1">
      <alignment horizontal="right"/>
    </xf>
    <xf numFmtId="44" fontId="9" fillId="0" borderId="0" xfId="0" quotePrefix="1" applyNumberFormat="1" applyFont="1"/>
    <xf numFmtId="165" fontId="0" fillId="8" borderId="1" xfId="8" applyNumberFormat="1" applyFont="1" applyBorder="1"/>
    <xf numFmtId="165" fontId="0" fillId="8" borderId="0" xfId="8" applyNumberFormat="1" applyFont="1"/>
    <xf numFmtId="165" fontId="0" fillId="0" borderId="7" xfId="0" applyNumberFormat="1" applyBorder="1"/>
    <xf numFmtId="0" fontId="3" fillId="3" borderId="0" xfId="4" applyAlignment="1">
      <alignment horizontal="center"/>
    </xf>
    <xf numFmtId="0" fontId="4" fillId="0" borderId="0" xfId="0" applyFont="1" applyAlignment="1">
      <alignment horizontal="center"/>
    </xf>
    <xf numFmtId="0" fontId="2" fillId="7" borderId="0" xfId="6" applyAlignment="1">
      <alignment horizontal="center"/>
    </xf>
    <xf numFmtId="0" fontId="0" fillId="3" borderId="0" xfId="4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165" fontId="2" fillId="6" borderId="5" xfId="5" applyNumberFormat="1" applyBorder="1"/>
    <xf numFmtId="0" fontId="1" fillId="9" borderId="0" xfId="9"/>
    <xf numFmtId="176" fontId="3" fillId="2" borderId="2" xfId="2" applyNumberFormat="1" applyFill="1" applyBorder="1"/>
    <xf numFmtId="165" fontId="0" fillId="0" borderId="2" xfId="2" applyNumberFormat="1" applyFont="1" applyBorder="1"/>
    <xf numFmtId="165" fontId="0" fillId="0" borderId="3" xfId="0" applyNumberFormat="1" applyFont="1" applyBorder="1"/>
    <xf numFmtId="165" fontId="0" fillId="0" borderId="0" xfId="0" applyNumberFormat="1" applyFont="1"/>
    <xf numFmtId="165" fontId="4" fillId="0" borderId="0" xfId="0" applyNumberFormat="1" applyFont="1"/>
    <xf numFmtId="165" fontId="3" fillId="8" borderId="3" xfId="8" applyNumberFormat="1" applyBorder="1"/>
    <xf numFmtId="165" fontId="0" fillId="0" borderId="2" xfId="0" applyNumberFormat="1" applyBorder="1"/>
    <xf numFmtId="0" fontId="0" fillId="0" borderId="0" xfId="0" applyAlignment="1"/>
  </cellXfs>
  <cellStyles count="10">
    <cellStyle name="20% - Accent2" xfId="3" builtinId="34"/>
    <cellStyle name="20% - Accent4" xfId="5" builtinId="42"/>
    <cellStyle name="20% - Accent5" xfId="8" builtinId="46"/>
    <cellStyle name="40% - Accent2" xfId="4" builtinId="35"/>
    <cellStyle name="40% - Accent4" xfId="6" builtinId="43"/>
    <cellStyle name="40% - Accent6" xfId="9" builtinId="51"/>
    <cellStyle name="Comma" xfId="1" builtinId="3"/>
    <cellStyle name="Currency" xfId="2" builtinId="4"/>
    <cellStyle name="Normal" xfId="0" builtinId="0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159D7-0D0C-864B-B167-490F3EBB300A}">
  <dimension ref="A1:Y51"/>
  <sheetViews>
    <sheetView zoomScale="112" workbookViewId="0">
      <pane xSplit="1" topLeftCell="B10" activePane="topRight" state="frozen"/>
      <selection pane="topRight" activeCell="E10" sqref="E10"/>
    </sheetView>
  </sheetViews>
  <sheetFormatPr defaultColWidth="11" defaultRowHeight="15.95"/>
  <cols>
    <col min="1" max="1" width="74.875" customWidth="1"/>
    <col min="2" max="4" width="25.375" customWidth="1"/>
    <col min="5" max="7" width="26.625" customWidth="1"/>
    <col min="8" max="8" width="27" customWidth="1"/>
    <col min="9" max="9" width="20.125" customWidth="1"/>
    <col min="10" max="10" width="19.625" customWidth="1"/>
    <col min="11" max="11" width="21.5" customWidth="1"/>
  </cols>
  <sheetData>
    <row r="1" spans="1:25" ht="15.95" customHeight="1">
      <c r="A1" s="145" t="s">
        <v>0</v>
      </c>
      <c r="B1" s="145"/>
      <c r="C1" s="145"/>
      <c r="D1" s="145"/>
      <c r="E1" s="145"/>
      <c r="F1" s="145"/>
      <c r="G1" s="145"/>
      <c r="H1" s="14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145" t="s">
        <v>1</v>
      </c>
      <c r="B2" s="145"/>
      <c r="C2" s="145"/>
      <c r="D2" s="145"/>
      <c r="E2" s="145"/>
      <c r="F2" s="145"/>
      <c r="G2" s="145"/>
      <c r="H2" s="14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145" t="s">
        <v>2</v>
      </c>
      <c r="B3" s="145"/>
      <c r="C3" s="145"/>
      <c r="D3" s="145"/>
      <c r="E3" s="145"/>
      <c r="F3" s="145"/>
      <c r="G3" s="145"/>
      <c r="H3" s="145"/>
    </row>
    <row r="4" spans="1:25">
      <c r="A4" s="145" t="s">
        <v>3</v>
      </c>
      <c r="B4" s="145"/>
      <c r="C4" s="145"/>
      <c r="D4" s="145"/>
      <c r="E4" s="145"/>
      <c r="F4" s="145"/>
      <c r="G4" s="145"/>
      <c r="H4" s="145"/>
      <c r="I4" s="145" t="s">
        <v>4</v>
      </c>
      <c r="J4" s="145"/>
      <c r="K4" s="145"/>
    </row>
    <row r="5" spans="1:25">
      <c r="A5" s="1"/>
      <c r="B5" s="146" t="s">
        <v>5</v>
      </c>
      <c r="C5" s="146"/>
      <c r="D5" s="146"/>
      <c r="E5" s="146"/>
      <c r="F5" s="146"/>
      <c r="G5" s="146"/>
      <c r="H5" s="146"/>
    </row>
    <row r="6" spans="1:25">
      <c r="A6" s="1"/>
      <c r="B6" s="9" t="s">
        <v>6</v>
      </c>
      <c r="C6" s="9" t="s">
        <v>7</v>
      </c>
      <c r="D6" s="9" t="s">
        <v>8</v>
      </c>
      <c r="E6" s="9" t="s">
        <v>9</v>
      </c>
      <c r="F6" s="9" t="s">
        <v>7</v>
      </c>
      <c r="G6" s="9" t="s">
        <v>8</v>
      </c>
      <c r="H6" s="9" t="s">
        <v>10</v>
      </c>
      <c r="I6" s="9" t="s">
        <v>6</v>
      </c>
      <c r="J6" s="9" t="s">
        <v>9</v>
      </c>
      <c r="K6" s="9" t="s">
        <v>10</v>
      </c>
    </row>
    <row r="7" spans="1:25">
      <c r="A7" s="1"/>
      <c r="B7" s="129"/>
      <c r="C7" s="129"/>
      <c r="D7" s="129"/>
      <c r="E7" s="129"/>
      <c r="F7" s="129"/>
      <c r="G7" s="129"/>
      <c r="H7" s="12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>
      <c r="A8" s="4" t="s">
        <v>11</v>
      </c>
      <c r="B8" s="19">
        <v>32136</v>
      </c>
      <c r="C8" s="22">
        <f>B8-E8</f>
        <v>-629</v>
      </c>
      <c r="D8" s="15">
        <f>C8/E8</f>
        <v>-1.9197314207233328E-2</v>
      </c>
      <c r="E8" s="16">
        <v>32765</v>
      </c>
      <c r="F8" s="22">
        <f>E8-H8</f>
        <v>1108</v>
      </c>
      <c r="G8" s="15">
        <f>F8/H8</f>
        <v>3.5000157942951006E-2</v>
      </c>
      <c r="H8" s="11">
        <v>31657</v>
      </c>
      <c r="I8" s="15">
        <f>B8/$B$8</f>
        <v>1</v>
      </c>
      <c r="J8" s="15">
        <f>E8/$E$8</f>
        <v>1</v>
      </c>
      <c r="K8" s="15">
        <f>H8/$H$8</f>
        <v>1</v>
      </c>
    </row>
    <row r="9" spans="1:25">
      <c r="A9" s="1" t="s">
        <v>12</v>
      </c>
      <c r="B9" s="76"/>
      <c r="C9" s="21"/>
      <c r="D9" s="15"/>
      <c r="E9" s="5"/>
      <c r="F9" s="21"/>
      <c r="G9" s="15"/>
      <c r="I9" s="15"/>
      <c r="J9" s="15"/>
      <c r="K9" s="15"/>
    </row>
    <row r="10" spans="1:25">
      <c r="A10" t="s">
        <v>13</v>
      </c>
      <c r="B10" s="76">
        <v>17136</v>
      </c>
      <c r="C10" s="21">
        <f t="shared" ref="C10:C26" si="0">B10-E10</f>
        <v>454</v>
      </c>
      <c r="D10" s="15">
        <f t="shared" ref="D10:D26" si="1">C10/E10</f>
        <v>2.7214962234744036E-2</v>
      </c>
      <c r="E10" s="103">
        <v>16682</v>
      </c>
      <c r="F10" s="21">
        <f t="shared" ref="F10:F26" si="2">E10-H10</f>
        <v>627</v>
      </c>
      <c r="G10" s="15">
        <f t="shared" ref="G10:G26" si="3">F10/H10</f>
        <v>3.9053254437869819E-2</v>
      </c>
      <c r="H10" s="76">
        <v>16055</v>
      </c>
      <c r="I10" s="15">
        <f t="shared" ref="I10:I26" si="4">B10/$B$8</f>
        <v>0.53323375653472738</v>
      </c>
      <c r="J10" s="15">
        <f t="shared" ref="J10:J26" si="5">E10/$E$8</f>
        <v>0.5091408515183885</v>
      </c>
      <c r="K10" s="15">
        <f t="shared" ref="K10:K26" si="6">H10/$H$8</f>
        <v>0.50715481568057619</v>
      </c>
    </row>
    <row r="11" spans="1:25">
      <c r="A11" t="s">
        <v>14</v>
      </c>
      <c r="B11" s="76">
        <v>7029</v>
      </c>
      <c r="C11" s="21">
        <f t="shared" si="0"/>
        <v>-573</v>
      </c>
      <c r="D11" s="15">
        <f t="shared" si="1"/>
        <v>-7.5374901341752176E-2</v>
      </c>
      <c r="E11" s="103">
        <v>7602</v>
      </c>
      <c r="F11" s="21">
        <f t="shared" si="2"/>
        <v>976</v>
      </c>
      <c r="G11" s="15">
        <f t="shared" si="3"/>
        <v>0.14729852097796559</v>
      </c>
      <c r="H11" s="76">
        <v>6626</v>
      </c>
      <c r="I11" s="15">
        <f t="shared" si="4"/>
        <v>0.21872666168782673</v>
      </c>
      <c r="J11" s="15">
        <f t="shared" si="5"/>
        <v>0.23201587059362125</v>
      </c>
      <c r="K11" s="15">
        <f t="shared" si="6"/>
        <v>0.2093059986732792</v>
      </c>
    </row>
    <row r="12" spans="1:25">
      <c r="A12" t="s">
        <v>15</v>
      </c>
      <c r="B12" s="76">
        <v>1911</v>
      </c>
      <c r="C12" s="21">
        <f t="shared" si="0"/>
        <v>90</v>
      </c>
      <c r="D12" s="15">
        <f t="shared" si="1"/>
        <v>4.9423393739703461E-2</v>
      </c>
      <c r="E12" s="103">
        <v>1821</v>
      </c>
      <c r="F12" s="21">
        <f t="shared" si="2"/>
        <v>-49</v>
      </c>
      <c r="G12" s="15">
        <f t="shared" si="3"/>
        <v>-2.6203208556149733E-2</v>
      </c>
      <c r="H12" s="76">
        <v>1870</v>
      </c>
      <c r="I12" s="15">
        <f t="shared" si="4"/>
        <v>5.946601941747573E-2</v>
      </c>
      <c r="J12" s="15">
        <f t="shared" si="5"/>
        <v>5.5577598046696167E-2</v>
      </c>
      <c r="K12" s="15">
        <f t="shared" si="6"/>
        <v>5.9070663676280125E-2</v>
      </c>
    </row>
    <row r="13" spans="1:25">
      <c r="A13" t="s">
        <v>16</v>
      </c>
      <c r="B13" s="76">
        <v>-114</v>
      </c>
      <c r="C13" s="21">
        <f t="shared" si="0"/>
        <v>433</v>
      </c>
      <c r="D13" s="15">
        <f t="shared" si="1"/>
        <v>-0.7915904936014625</v>
      </c>
      <c r="E13" s="103">
        <v>-547</v>
      </c>
      <c r="F13" s="21">
        <f t="shared" si="2"/>
        <v>39</v>
      </c>
      <c r="G13" s="15">
        <f t="shared" si="3"/>
        <v>-6.655290102389079E-2</v>
      </c>
      <c r="H13" s="76">
        <v>-586</v>
      </c>
      <c r="I13" s="15">
        <f t="shared" si="4"/>
        <v>-3.5474234503360719E-3</v>
      </c>
      <c r="J13" s="15">
        <f t="shared" si="5"/>
        <v>-1.6694643674652832E-2</v>
      </c>
      <c r="K13" s="15">
        <f t="shared" si="6"/>
        <v>-1.8510913857914521E-2</v>
      </c>
    </row>
    <row r="14" spans="1:25">
      <c r="A14" s="18" t="s">
        <v>17</v>
      </c>
      <c r="B14" s="75">
        <f>SUM(B10:B13)</f>
        <v>25962</v>
      </c>
      <c r="C14" s="24">
        <f t="shared" si="0"/>
        <v>404</v>
      </c>
      <c r="D14" s="25">
        <f t="shared" si="1"/>
        <v>1.5807183660693325E-2</v>
      </c>
      <c r="E14" s="77">
        <f>SUM(E10:E13)</f>
        <v>25558</v>
      </c>
      <c r="F14" s="24">
        <f t="shared" si="2"/>
        <v>1593</v>
      </c>
      <c r="G14" s="25">
        <f t="shared" si="3"/>
        <v>6.6471938243271439E-2</v>
      </c>
      <c r="H14" s="77">
        <f>SUM(H10:H13)</f>
        <v>23965</v>
      </c>
      <c r="I14" s="25">
        <f t="shared" si="4"/>
        <v>0.80787901418969377</v>
      </c>
      <c r="J14" s="25">
        <f t="shared" si="5"/>
        <v>0.78003967648405315</v>
      </c>
      <c r="K14" s="25">
        <f t="shared" si="6"/>
        <v>0.75702056417222097</v>
      </c>
    </row>
    <row r="15" spans="1:25">
      <c r="A15" s="18" t="s">
        <v>18</v>
      </c>
      <c r="B15" s="75">
        <f>B8-B14</f>
        <v>6174</v>
      </c>
      <c r="C15" s="21">
        <f t="shared" si="0"/>
        <v>-1033</v>
      </c>
      <c r="D15" s="15">
        <f t="shared" si="1"/>
        <v>-0.14333287082003607</v>
      </c>
      <c r="E15" s="103">
        <f>E8-E14</f>
        <v>7207</v>
      </c>
      <c r="F15" s="21">
        <f t="shared" si="2"/>
        <v>-485</v>
      </c>
      <c r="G15" s="15">
        <f t="shared" si="3"/>
        <v>-6.3052522100884037E-2</v>
      </c>
      <c r="H15" s="76">
        <f>H8-H14</f>
        <v>7692</v>
      </c>
      <c r="I15" s="15">
        <f t="shared" si="4"/>
        <v>0.19212098581030621</v>
      </c>
      <c r="J15" s="15">
        <f t="shared" si="5"/>
        <v>0.21996032351594688</v>
      </c>
      <c r="K15" s="15">
        <f t="shared" si="6"/>
        <v>0.24297943582777901</v>
      </c>
    </row>
    <row r="16" spans="1:25">
      <c r="A16" s="1" t="s">
        <v>19</v>
      </c>
      <c r="B16" s="76"/>
      <c r="C16" s="21"/>
      <c r="D16" s="15"/>
      <c r="E16" s="103"/>
      <c r="F16" s="21"/>
      <c r="G16" s="15"/>
      <c r="H16" s="76"/>
      <c r="I16" s="15"/>
      <c r="J16" s="15"/>
      <c r="K16" s="15"/>
    </row>
    <row r="17" spans="1:11">
      <c r="A17" t="s">
        <v>20</v>
      </c>
      <c r="B17" s="76">
        <v>462</v>
      </c>
      <c r="C17" s="21">
        <f t="shared" si="0"/>
        <v>255</v>
      </c>
      <c r="D17" s="15">
        <f t="shared" si="1"/>
        <v>1.2318840579710144</v>
      </c>
      <c r="E17" s="103">
        <v>207</v>
      </c>
      <c r="F17" s="21">
        <f t="shared" si="2"/>
        <v>63</v>
      </c>
      <c r="G17" s="15">
        <f t="shared" si="3"/>
        <v>0.4375</v>
      </c>
      <c r="H17" s="76">
        <v>144</v>
      </c>
      <c r="I17" s="15">
        <f t="shared" si="4"/>
        <v>1.4376400298730396E-2</v>
      </c>
      <c r="J17" s="15">
        <f t="shared" si="5"/>
        <v>6.3177170761483294E-3</v>
      </c>
      <c r="K17" s="15">
        <f t="shared" si="6"/>
        <v>4.5487569889755821E-3</v>
      </c>
    </row>
    <row r="18" spans="1:11">
      <c r="A18" t="s">
        <v>21</v>
      </c>
      <c r="B18" s="75">
        <f>B15-B17</f>
        <v>5712</v>
      </c>
      <c r="C18" s="23">
        <f t="shared" si="0"/>
        <v>-1288</v>
      </c>
      <c r="D18" s="7">
        <f t="shared" si="1"/>
        <v>-0.184</v>
      </c>
      <c r="E18" s="75">
        <f>E15-E17</f>
        <v>7000</v>
      </c>
      <c r="F18" s="23">
        <f t="shared" si="2"/>
        <v>-548</v>
      </c>
      <c r="G18" s="7">
        <f t="shared" si="3"/>
        <v>-7.2602013778484367E-2</v>
      </c>
      <c r="H18" s="75">
        <f>H15-H17</f>
        <v>7548</v>
      </c>
      <c r="I18" s="7">
        <f t="shared" si="4"/>
        <v>0.17774458551157579</v>
      </c>
      <c r="J18" s="7">
        <f t="shared" si="5"/>
        <v>0.21364260643979857</v>
      </c>
      <c r="K18" s="7">
        <f t="shared" si="6"/>
        <v>0.23843067883880342</v>
      </c>
    </row>
    <row r="19" spans="1:11">
      <c r="A19" t="s">
        <v>22</v>
      </c>
      <c r="B19" s="76">
        <v>1130</v>
      </c>
      <c r="C19" s="21">
        <f t="shared" si="0"/>
        <v>-507</v>
      </c>
      <c r="D19" s="15">
        <f t="shared" si="1"/>
        <v>-0.30971288943188757</v>
      </c>
      <c r="E19" s="103">
        <v>1637</v>
      </c>
      <c r="F19" s="21">
        <f t="shared" si="2"/>
        <v>-1042</v>
      </c>
      <c r="G19" s="15">
        <f t="shared" si="3"/>
        <v>-0.3889511011571482</v>
      </c>
      <c r="H19" s="76">
        <v>2679</v>
      </c>
      <c r="I19" s="15">
        <f t="shared" si="4"/>
        <v>3.5163057007717199E-2</v>
      </c>
      <c r="J19" s="15">
        <f t="shared" si="5"/>
        <v>4.9961849534564319E-2</v>
      </c>
      <c r="K19" s="15">
        <f t="shared" si="6"/>
        <v>8.4625833149066562E-2</v>
      </c>
    </row>
    <row r="20" spans="1:11">
      <c r="A20" t="s">
        <v>23</v>
      </c>
      <c r="B20" s="75">
        <f>B18-B19</f>
        <v>4582</v>
      </c>
      <c r="C20" s="23">
        <f t="shared" si="0"/>
        <v>-781</v>
      </c>
      <c r="D20" s="7">
        <f t="shared" si="1"/>
        <v>-0.14562744732425881</v>
      </c>
      <c r="E20" s="75">
        <f>E18-E19</f>
        <v>5363</v>
      </c>
      <c r="F20" s="23">
        <f t="shared" si="2"/>
        <v>494</v>
      </c>
      <c r="G20" s="7">
        <f t="shared" si="3"/>
        <v>0.10145820497021976</v>
      </c>
      <c r="H20" s="75">
        <f>H18-H19</f>
        <v>4869</v>
      </c>
      <c r="I20" s="7">
        <f t="shared" si="4"/>
        <v>0.14258152850385861</v>
      </c>
      <c r="J20" s="7">
        <f t="shared" si="5"/>
        <v>0.16368075690523423</v>
      </c>
      <c r="K20" s="7">
        <f t="shared" si="6"/>
        <v>0.15380484568973687</v>
      </c>
    </row>
    <row r="21" spans="1:11" ht="17.100000000000001" customHeight="1">
      <c r="A21" t="s">
        <v>24</v>
      </c>
      <c r="B21" s="76">
        <v>12</v>
      </c>
      <c r="C21" s="21">
        <f t="shared" si="0"/>
        <v>-2</v>
      </c>
      <c r="D21" s="15">
        <f t="shared" si="1"/>
        <v>-0.14285714285714285</v>
      </c>
      <c r="E21" s="103">
        <v>14</v>
      </c>
      <c r="F21" s="21">
        <f t="shared" si="2"/>
        <v>3</v>
      </c>
      <c r="G21" s="15">
        <f t="shared" si="3"/>
        <v>0.27272727272727271</v>
      </c>
      <c r="H21" s="76">
        <v>11</v>
      </c>
      <c r="I21" s="15">
        <f t="shared" si="4"/>
        <v>3.734129947722181E-4</v>
      </c>
      <c r="J21" s="15">
        <f t="shared" si="5"/>
        <v>4.2728521287959716E-4</v>
      </c>
      <c r="K21" s="15">
        <f t="shared" si="6"/>
        <v>3.4747449221341251E-4</v>
      </c>
    </row>
    <row r="22" spans="1:11">
      <c r="A22" t="s">
        <v>25</v>
      </c>
      <c r="B22" s="20">
        <f>B20-B21</f>
        <v>4570</v>
      </c>
      <c r="C22" s="26">
        <f t="shared" si="0"/>
        <v>-779</v>
      </c>
      <c r="D22" s="8">
        <f t="shared" si="1"/>
        <v>-0.14563469807440643</v>
      </c>
      <c r="E22" s="20">
        <f>E20-E21</f>
        <v>5349</v>
      </c>
      <c r="F22" s="26">
        <f t="shared" si="2"/>
        <v>491</v>
      </c>
      <c r="G22" s="8">
        <f t="shared" si="3"/>
        <v>0.10107039934129271</v>
      </c>
      <c r="H22" s="20">
        <f>H20-H21</f>
        <v>4858</v>
      </c>
      <c r="I22" s="8">
        <f t="shared" si="4"/>
        <v>0.14220811550908638</v>
      </c>
      <c r="J22" s="8">
        <f t="shared" si="5"/>
        <v>0.16325347169235466</v>
      </c>
      <c r="K22" s="8">
        <f t="shared" si="6"/>
        <v>0.15345737119752345</v>
      </c>
    </row>
    <row r="23" spans="1:11">
      <c r="A23" t="s">
        <v>26</v>
      </c>
      <c r="B23">
        <v>577</v>
      </c>
      <c r="C23" s="21">
        <f t="shared" si="0"/>
        <v>-11.5</v>
      </c>
      <c r="D23" s="15">
        <f t="shared" si="1"/>
        <v>-1.9541206457094309E-2</v>
      </c>
      <c r="E23" s="5">
        <v>588.5</v>
      </c>
      <c r="F23" s="21">
        <f t="shared" si="2"/>
        <v>-9</v>
      </c>
      <c r="G23" s="15">
        <f t="shared" si="3"/>
        <v>-1.506276150627615E-2</v>
      </c>
      <c r="H23">
        <v>597.5</v>
      </c>
      <c r="I23" s="15">
        <f t="shared" si="4"/>
        <v>1.7954941498630819E-2</v>
      </c>
      <c r="J23" s="15">
        <f t="shared" si="5"/>
        <v>1.7961239127117352E-2</v>
      </c>
      <c r="K23" s="15">
        <f t="shared" si="6"/>
        <v>1.8874182645228544E-2</v>
      </c>
    </row>
    <row r="24" spans="1:11">
      <c r="A24" t="s">
        <v>27</v>
      </c>
      <c r="B24" s="13">
        <v>7.92</v>
      </c>
      <c r="C24" s="21">
        <f t="shared" si="0"/>
        <v>-1.17</v>
      </c>
      <c r="D24" s="15">
        <f t="shared" si="1"/>
        <v>-0.12871287128712872</v>
      </c>
      <c r="E24" s="17">
        <v>9.09</v>
      </c>
      <c r="F24" s="21">
        <f t="shared" si="2"/>
        <v>0.95999999999999908</v>
      </c>
      <c r="G24" s="15">
        <f t="shared" si="3"/>
        <v>0.11808118081180799</v>
      </c>
      <c r="H24" s="13">
        <v>8.1300000000000008</v>
      </c>
      <c r="I24" s="15">
        <f t="shared" si="4"/>
        <v>2.4645257654966395E-4</v>
      </c>
      <c r="J24" s="15">
        <f t="shared" si="5"/>
        <v>2.7743018464825269E-4</v>
      </c>
      <c r="K24" s="15">
        <f t="shared" si="6"/>
        <v>2.568152383359131E-4</v>
      </c>
    </row>
    <row r="25" spans="1:11">
      <c r="A25" t="s">
        <v>28</v>
      </c>
      <c r="B25">
        <v>585.1</v>
      </c>
      <c r="C25" s="21">
        <f t="shared" si="0"/>
        <v>-16.899999999999977</v>
      </c>
      <c r="D25" s="15">
        <f t="shared" si="1"/>
        <v>-2.8073089700996642E-2</v>
      </c>
      <c r="E25" s="5">
        <v>602</v>
      </c>
      <c r="F25" s="21">
        <f t="shared" si="2"/>
        <v>-10.700000000000045</v>
      </c>
      <c r="G25" s="15">
        <f t="shared" si="3"/>
        <v>-1.7463685327240158E-2</v>
      </c>
      <c r="H25">
        <v>612.70000000000005</v>
      </c>
      <c r="I25" s="15">
        <f t="shared" si="4"/>
        <v>1.8206995270102066E-2</v>
      </c>
      <c r="J25" s="15">
        <f t="shared" si="5"/>
        <v>1.8373264153822677E-2</v>
      </c>
      <c r="K25" s="15">
        <f t="shared" si="6"/>
        <v>1.9354329216287079E-2</v>
      </c>
    </row>
    <row r="26" spans="1:11">
      <c r="A26" t="s">
        <v>29</v>
      </c>
      <c r="B26" s="13">
        <v>7.81</v>
      </c>
      <c r="C26" s="21">
        <f t="shared" si="0"/>
        <v>-1.080000000000001</v>
      </c>
      <c r="D26" s="15">
        <f t="shared" si="1"/>
        <v>-0.12148481439820033</v>
      </c>
      <c r="E26" s="17">
        <v>8.89</v>
      </c>
      <c r="F26" s="21">
        <f t="shared" si="2"/>
        <v>0.96000000000000085</v>
      </c>
      <c r="G26" s="15">
        <f t="shared" si="3"/>
        <v>0.12105926860025232</v>
      </c>
      <c r="H26" s="13">
        <v>7.93</v>
      </c>
      <c r="I26" s="15">
        <f t="shared" si="4"/>
        <v>2.4302962409758526E-4</v>
      </c>
      <c r="J26" s="15">
        <f t="shared" si="5"/>
        <v>2.713261101785442E-4</v>
      </c>
      <c r="K26" s="15">
        <f t="shared" si="6"/>
        <v>2.504975202956692E-4</v>
      </c>
    </row>
    <row r="27" spans="1:11">
      <c r="A27" s="1"/>
      <c r="B27" s="1"/>
      <c r="E27" s="5"/>
      <c r="F27" s="5"/>
    </row>
    <row r="28" spans="1:11">
      <c r="A28" s="1"/>
      <c r="B28" s="1"/>
    </row>
    <row r="33" spans="1:4">
      <c r="A33" s="2"/>
      <c r="B33" s="14"/>
      <c r="C33" s="11"/>
      <c r="D33" s="11"/>
    </row>
    <row r="35" spans="1:4">
      <c r="B35" s="12"/>
      <c r="C35" s="12"/>
      <c r="D35" s="12"/>
    </row>
    <row r="36" spans="1:4">
      <c r="B36" s="12"/>
      <c r="C36" s="12"/>
      <c r="D36" s="12"/>
    </row>
    <row r="37" spans="1:4">
      <c r="B37" s="12"/>
      <c r="C37" s="12"/>
      <c r="D37" s="12"/>
    </row>
    <row r="39" spans="1:4">
      <c r="B39" s="12"/>
      <c r="C39" s="12"/>
      <c r="D39" s="12"/>
    </row>
    <row r="40" spans="1:4">
      <c r="B40" s="12"/>
      <c r="C40" s="12"/>
      <c r="D40" s="12"/>
    </row>
    <row r="43" spans="1:4">
      <c r="B43" s="12"/>
      <c r="C43" s="12"/>
      <c r="D43" s="12"/>
    </row>
    <row r="44" spans="1:4">
      <c r="B44" s="12"/>
      <c r="C44" s="12"/>
      <c r="D44" s="12"/>
    </row>
    <row r="45" spans="1:4">
      <c r="B45" s="12"/>
      <c r="C45" s="12"/>
      <c r="D45" s="12"/>
    </row>
    <row r="47" spans="1:4">
      <c r="B47" s="11"/>
      <c r="C47" s="11"/>
      <c r="D47" s="11"/>
    </row>
    <row r="49" spans="2:4">
      <c r="B49" s="13"/>
      <c r="C49" s="13"/>
      <c r="D49" s="13"/>
    </row>
    <row r="51" spans="2:4">
      <c r="B51" s="13"/>
      <c r="C51" s="13"/>
      <c r="D51" s="13"/>
    </row>
  </sheetData>
  <mergeCells count="6">
    <mergeCell ref="I4:K4"/>
    <mergeCell ref="B5:H5"/>
    <mergeCell ref="A1:H1"/>
    <mergeCell ref="A2:H2"/>
    <mergeCell ref="A3:H3"/>
    <mergeCell ref="A4:H4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F3707-6C40-7240-8476-5B7DFAF09493}">
  <dimension ref="A1:Q51"/>
  <sheetViews>
    <sheetView zoomScale="75" workbookViewId="0">
      <pane xSplit="1" topLeftCell="B69" activePane="topRight" state="frozen"/>
      <selection pane="topRight" activeCell="A41" sqref="A41"/>
    </sheetView>
  </sheetViews>
  <sheetFormatPr defaultColWidth="11" defaultRowHeight="15.95"/>
  <cols>
    <col min="1" max="1" width="73.125" customWidth="1"/>
    <col min="2" max="4" width="21.125" customWidth="1"/>
    <col min="5" max="7" width="21.625" customWidth="1"/>
    <col min="8" max="8" width="26" customWidth="1"/>
    <col min="9" max="9" width="18.375" customWidth="1"/>
    <col min="10" max="10" width="17.125" customWidth="1"/>
    <col min="11" max="11" width="19.5" customWidth="1"/>
    <col min="16" max="16" width="29.875" customWidth="1"/>
  </cols>
  <sheetData>
    <row r="1" spans="1:17">
      <c r="A1" s="145" t="s">
        <v>30</v>
      </c>
      <c r="B1" s="145"/>
      <c r="C1" s="145"/>
      <c r="D1" s="145"/>
      <c r="E1" s="145"/>
      <c r="F1" s="145"/>
      <c r="G1" s="145"/>
      <c r="H1" s="145"/>
    </row>
    <row r="2" spans="1:17">
      <c r="A2" s="145" t="s">
        <v>31</v>
      </c>
      <c r="B2" s="145"/>
      <c r="C2" s="145"/>
      <c r="D2" s="145"/>
      <c r="E2" s="145"/>
      <c r="F2" s="145"/>
      <c r="G2" s="145"/>
      <c r="H2" s="145"/>
    </row>
    <row r="3" spans="1:17">
      <c r="A3" s="145" t="s">
        <v>32</v>
      </c>
      <c r="B3" s="145"/>
      <c r="C3" s="145"/>
      <c r="D3" s="145"/>
      <c r="E3" s="145"/>
      <c r="F3" s="145"/>
      <c r="G3" s="145"/>
      <c r="H3" s="145"/>
    </row>
    <row r="4" spans="1:17">
      <c r="A4" s="145" t="s">
        <v>33</v>
      </c>
      <c r="B4" s="145"/>
      <c r="C4" s="145"/>
      <c r="D4" s="145"/>
      <c r="E4" s="145"/>
      <c r="F4" s="145"/>
      <c r="G4" s="145"/>
      <c r="H4" s="145"/>
      <c r="I4" s="145" t="s">
        <v>34</v>
      </c>
      <c r="J4" s="145"/>
      <c r="K4" s="145"/>
    </row>
    <row r="5" spans="1:17">
      <c r="A5" s="1"/>
      <c r="B5" s="27" t="s">
        <v>6</v>
      </c>
      <c r="C5" s="27" t="s">
        <v>7</v>
      </c>
      <c r="D5" s="27" t="s">
        <v>8</v>
      </c>
      <c r="E5" s="27" t="s">
        <v>9</v>
      </c>
      <c r="F5" s="27" t="s">
        <v>7</v>
      </c>
      <c r="G5" s="27" t="s">
        <v>35</v>
      </c>
      <c r="H5" s="27" t="s">
        <v>10</v>
      </c>
      <c r="I5" s="27">
        <v>2019</v>
      </c>
      <c r="J5" s="27">
        <v>2018</v>
      </c>
      <c r="K5" s="27">
        <v>2017</v>
      </c>
    </row>
    <row r="6" spans="1:17">
      <c r="A6" s="1" t="s">
        <v>36</v>
      </c>
    </row>
    <row r="7" spans="1:17">
      <c r="A7" t="s">
        <v>37</v>
      </c>
      <c r="B7" s="11">
        <v>2353</v>
      </c>
      <c r="C7" s="41">
        <f>B7-E7</f>
        <v>-500</v>
      </c>
      <c r="D7" s="6">
        <f>C7/E7</f>
        <v>-0.1752541184717841</v>
      </c>
      <c r="E7" s="11">
        <v>2853</v>
      </c>
      <c r="F7" s="41">
        <f>E7-H7</f>
        <v>-200</v>
      </c>
      <c r="G7" s="6">
        <f>F7/H7</f>
        <v>-6.5509335080248934E-2</v>
      </c>
      <c r="H7" s="11">
        <v>3053</v>
      </c>
      <c r="I7" s="6">
        <f>B7/B$25</f>
        <v>5.2688147965695604E-2</v>
      </c>
      <c r="J7" s="6">
        <f>E7/E$25</f>
        <v>7.8164383561643833E-2</v>
      </c>
      <c r="K7" s="6">
        <f>H7/H$25</f>
        <v>8.036960012635902E-2</v>
      </c>
    </row>
    <row r="8" spans="1:17">
      <c r="A8" t="s">
        <v>38</v>
      </c>
      <c r="B8" s="76">
        <v>98</v>
      </c>
      <c r="C8" s="29">
        <f t="shared" ref="C8:C49" si="0">B8-E8</f>
        <v>-282</v>
      </c>
      <c r="D8" s="6">
        <f t="shared" ref="D8:D49" si="1">C8/E8</f>
        <v>-0.74210526315789471</v>
      </c>
      <c r="E8" s="76">
        <v>380</v>
      </c>
      <c r="F8" s="29">
        <f t="shared" ref="F8:F49" si="2">E8-H8</f>
        <v>-696</v>
      </c>
      <c r="G8" s="6">
        <f t="shared" ref="G8:G49" si="3">F8/H8</f>
        <v>-0.64684014869888473</v>
      </c>
      <c r="H8" s="76">
        <v>1076</v>
      </c>
      <c r="I8" s="6">
        <f t="shared" ref="I8:I49" si="4">B8/B$25</f>
        <v>2.1944065026086568E-3</v>
      </c>
      <c r="J8" s="6">
        <f t="shared" ref="J8:J49" si="5">E8/E$25</f>
        <v>1.0410958904109589E-2</v>
      </c>
      <c r="K8" s="6">
        <f t="shared" ref="K8:K49" si="6">H8/H$25</f>
        <v>2.8325479769394792E-2</v>
      </c>
    </row>
    <row r="9" spans="1:17">
      <c r="A9" t="s">
        <v>39</v>
      </c>
      <c r="B9" s="76">
        <v>4791</v>
      </c>
      <c r="C9" s="29">
        <f t="shared" si="0"/>
        <v>-229</v>
      </c>
      <c r="D9" s="6">
        <f t="shared" si="1"/>
        <v>-4.561752988047809E-2</v>
      </c>
      <c r="E9" s="76">
        <v>5020</v>
      </c>
      <c r="F9" s="29">
        <f t="shared" si="2"/>
        <v>109</v>
      </c>
      <c r="G9" s="6">
        <f t="shared" si="3"/>
        <v>2.2195072286703321E-2</v>
      </c>
      <c r="H9" s="76">
        <v>4911</v>
      </c>
      <c r="I9" s="6">
        <f t="shared" si="4"/>
        <v>0.1072796076938579</v>
      </c>
      <c r="J9" s="6">
        <f t="shared" si="5"/>
        <v>0.13753424657534247</v>
      </c>
      <c r="K9" s="6">
        <f t="shared" si="6"/>
        <v>0.12928106983968199</v>
      </c>
    </row>
    <row r="10" spans="1:17">
      <c r="A10" s="1" t="s">
        <v>40</v>
      </c>
      <c r="B10" s="76"/>
      <c r="C10" s="29"/>
      <c r="D10" s="6"/>
      <c r="E10" s="76"/>
      <c r="F10" s="29"/>
      <c r="G10" s="6"/>
      <c r="H10" s="76"/>
      <c r="I10" s="6"/>
      <c r="J10" s="6"/>
      <c r="K10" s="6"/>
      <c r="P10" s="11"/>
      <c r="Q10" s="11"/>
    </row>
    <row r="11" spans="1:17">
      <c r="A11" t="s">
        <v>41</v>
      </c>
      <c r="B11" s="76">
        <v>2003</v>
      </c>
      <c r="C11" s="29">
        <f t="shared" si="0"/>
        <v>-117</v>
      </c>
      <c r="D11" s="6">
        <f t="shared" si="1"/>
        <v>-5.518867924528302E-2</v>
      </c>
      <c r="E11" s="76">
        <v>2120</v>
      </c>
      <c r="F11" s="29">
        <f t="shared" si="2"/>
        <v>205</v>
      </c>
      <c r="G11" s="6">
        <f t="shared" si="3"/>
        <v>0.10704960835509138</v>
      </c>
      <c r="H11" s="76">
        <v>1915</v>
      </c>
      <c r="I11" s="6">
        <f t="shared" si="4"/>
        <v>4.4850981884950403E-2</v>
      </c>
      <c r="J11" s="6">
        <f t="shared" si="5"/>
        <v>5.8082191780821919E-2</v>
      </c>
      <c r="K11" s="6">
        <f t="shared" si="6"/>
        <v>5.041198304683181E-2</v>
      </c>
      <c r="P11" s="12"/>
    </row>
    <row r="12" spans="1:17">
      <c r="A12" t="s">
        <v>42</v>
      </c>
      <c r="B12" s="76">
        <v>1194</v>
      </c>
      <c r="C12" s="29">
        <f t="shared" si="0"/>
        <v>-98</v>
      </c>
      <c r="D12" s="6">
        <f t="shared" si="1"/>
        <v>-7.5851393188854491E-2</v>
      </c>
      <c r="E12" s="76">
        <v>1292</v>
      </c>
      <c r="F12" s="29">
        <f t="shared" si="2"/>
        <v>74</v>
      </c>
      <c r="G12" s="6">
        <f t="shared" si="3"/>
        <v>6.0755336617405585E-2</v>
      </c>
      <c r="H12" s="76">
        <v>1218</v>
      </c>
      <c r="I12" s="6">
        <f t="shared" si="4"/>
        <v>2.6735932286885061E-2</v>
      </c>
      <c r="J12" s="6">
        <f t="shared" si="5"/>
        <v>3.5397260273972601E-2</v>
      </c>
      <c r="K12" s="6">
        <f t="shared" si="6"/>
        <v>3.2063600705504514E-2</v>
      </c>
      <c r="P12" s="12"/>
      <c r="Q12" s="12"/>
    </row>
    <row r="13" spans="1:17">
      <c r="A13" t="s">
        <v>43</v>
      </c>
      <c r="B13" s="76">
        <v>937</v>
      </c>
      <c r="C13" s="29">
        <f t="shared" si="0"/>
        <v>-17</v>
      </c>
      <c r="D13" s="6">
        <f t="shared" si="1"/>
        <v>-1.781970649895178E-2</v>
      </c>
      <c r="E13" s="76">
        <v>954</v>
      </c>
      <c r="F13" s="29">
        <f t="shared" si="2"/>
        <v>53</v>
      </c>
      <c r="G13" s="6">
        <f t="shared" si="3"/>
        <v>5.8823529411764705E-2</v>
      </c>
      <c r="H13" s="76">
        <v>901</v>
      </c>
      <c r="I13" s="6">
        <f t="shared" si="4"/>
        <v>2.0981213193309298E-2</v>
      </c>
      <c r="J13" s="6">
        <f t="shared" si="5"/>
        <v>2.6136986301369864E-2</v>
      </c>
      <c r="K13" s="6">
        <f t="shared" si="6"/>
        <v>2.3718640587569433E-2</v>
      </c>
    </row>
    <row r="14" spans="1:17">
      <c r="A14" t="s">
        <v>44</v>
      </c>
      <c r="B14" s="75">
        <f>SUM(B11:B13)</f>
        <v>4134</v>
      </c>
      <c r="C14" s="30">
        <f t="shared" si="0"/>
        <v>-232</v>
      </c>
      <c r="D14" s="7">
        <f t="shared" si="1"/>
        <v>-5.3137883646358221E-2</v>
      </c>
      <c r="E14" s="75">
        <f>SUM(E11:E13)</f>
        <v>4366</v>
      </c>
      <c r="F14" s="30">
        <f t="shared" si="2"/>
        <v>332</v>
      </c>
      <c r="G14" s="7">
        <f t="shared" si="3"/>
        <v>8.2300446207238476E-2</v>
      </c>
      <c r="H14" s="75">
        <f>SUM(H11:H13)</f>
        <v>4034</v>
      </c>
      <c r="I14" s="7">
        <f t="shared" si="4"/>
        <v>9.2568127365144762E-2</v>
      </c>
      <c r="J14" s="7">
        <f t="shared" si="5"/>
        <v>0.11961643835616438</v>
      </c>
      <c r="K14" s="7">
        <f t="shared" si="6"/>
        <v>0.10619422433990576</v>
      </c>
      <c r="P14" s="12"/>
      <c r="Q14" s="12"/>
    </row>
    <row r="15" spans="1:17">
      <c r="A15" t="s">
        <v>45</v>
      </c>
      <c r="B15" s="76">
        <v>704</v>
      </c>
      <c r="C15" s="29">
        <f t="shared" si="0"/>
        <v>-37</v>
      </c>
      <c r="D15" s="6">
        <f t="shared" si="1"/>
        <v>-4.9932523616734142E-2</v>
      </c>
      <c r="E15" s="76">
        <v>741</v>
      </c>
      <c r="F15" s="29">
        <f t="shared" si="2"/>
        <v>-196</v>
      </c>
      <c r="G15" s="6">
        <f t="shared" si="3"/>
        <v>-0.20917822838847386</v>
      </c>
      <c r="H15" s="76">
        <v>937</v>
      </c>
      <c r="I15" s="6">
        <f t="shared" si="4"/>
        <v>1.576389977384178E-2</v>
      </c>
      <c r="J15" s="6">
        <f t="shared" si="5"/>
        <v>2.0301369863013698E-2</v>
      </c>
      <c r="K15" s="6">
        <f t="shared" si="6"/>
        <v>2.4666333219259221E-2</v>
      </c>
      <c r="P15" s="12"/>
      <c r="Q15" s="12"/>
    </row>
    <row r="16" spans="1:17">
      <c r="A16" t="s">
        <v>46</v>
      </c>
      <c r="B16" s="76">
        <v>891</v>
      </c>
      <c r="C16" s="29">
        <f t="shared" si="0"/>
        <v>542</v>
      </c>
      <c r="D16" s="6">
        <f t="shared" si="1"/>
        <v>1.5530085959885387</v>
      </c>
      <c r="E16" s="76">
        <v>349</v>
      </c>
      <c r="F16" s="29">
        <f t="shared" si="2"/>
        <v>83</v>
      </c>
      <c r="G16" s="6">
        <f t="shared" si="3"/>
        <v>0.31203007518796994</v>
      </c>
      <c r="H16" s="76">
        <v>266</v>
      </c>
      <c r="I16" s="6">
        <f t="shared" si="4"/>
        <v>1.9951185651268501E-2</v>
      </c>
      <c r="J16" s="6">
        <f t="shared" si="5"/>
        <v>9.5616438356164388E-3</v>
      </c>
      <c r="K16" s="6">
        <f t="shared" si="6"/>
        <v>7.0023955563745495E-3</v>
      </c>
    </row>
    <row r="17" spans="1:17">
      <c r="A17" t="s">
        <v>47</v>
      </c>
      <c r="B17" s="75">
        <f>SUM(B7:B16)-B14</f>
        <v>12971</v>
      </c>
      <c r="C17" s="30">
        <f t="shared" si="0"/>
        <v>-738</v>
      </c>
      <c r="D17" s="7">
        <f t="shared" si="1"/>
        <v>-5.3833248231089065E-2</v>
      </c>
      <c r="E17" s="75">
        <f>E7+E8+E9+E14+E15+E16</f>
        <v>13709</v>
      </c>
      <c r="F17" s="30">
        <f t="shared" si="2"/>
        <v>-568</v>
      </c>
      <c r="G17" s="7">
        <f t="shared" si="3"/>
        <v>-3.9784268403726272E-2</v>
      </c>
      <c r="H17" s="75">
        <f>H7+H8+H9+H14+H15+H16</f>
        <v>14277</v>
      </c>
      <c r="I17" s="7">
        <f t="shared" si="4"/>
        <v>0.29044537495241718</v>
      </c>
      <c r="J17" s="7">
        <f t="shared" si="5"/>
        <v>0.37558904109589042</v>
      </c>
      <c r="K17" s="7">
        <f t="shared" si="6"/>
        <v>0.37583910285097533</v>
      </c>
      <c r="P17" s="12"/>
      <c r="Q17" s="12"/>
    </row>
    <row r="18" spans="1:17">
      <c r="A18" t="s">
        <v>48</v>
      </c>
      <c r="B18" s="76">
        <v>26124</v>
      </c>
      <c r="C18" s="29">
        <f t="shared" si="0"/>
        <v>1251</v>
      </c>
      <c r="D18" s="6">
        <f t="shared" si="1"/>
        <v>5.0295501145820772E-2</v>
      </c>
      <c r="E18" s="76">
        <v>24873</v>
      </c>
      <c r="F18" s="29">
        <f t="shared" si="2"/>
        <v>-41</v>
      </c>
      <c r="G18" s="6">
        <f t="shared" si="3"/>
        <v>-1.6456610740948863E-3</v>
      </c>
      <c r="H18" s="76">
        <v>24914</v>
      </c>
      <c r="I18" s="6">
        <f t="shared" si="4"/>
        <v>0.58496607626682195</v>
      </c>
      <c r="J18" s="6">
        <f t="shared" si="5"/>
        <v>0.68145205479452053</v>
      </c>
      <c r="K18" s="6">
        <f t="shared" si="6"/>
        <v>0.65585595071998315</v>
      </c>
    </row>
    <row r="19" spans="1:17">
      <c r="A19" t="s">
        <v>49</v>
      </c>
      <c r="B19" s="76">
        <v>-16791</v>
      </c>
      <c r="C19" s="29">
        <f t="shared" si="0"/>
        <v>-656</v>
      </c>
      <c r="D19" s="6">
        <f t="shared" si="1"/>
        <v>4.0656956925937404E-2</v>
      </c>
      <c r="E19" s="76">
        <v>-16135</v>
      </c>
      <c r="F19" s="29">
        <f t="shared" si="2"/>
        <v>-87</v>
      </c>
      <c r="G19" s="6">
        <f t="shared" si="3"/>
        <v>5.4212362911266205E-3</v>
      </c>
      <c r="H19" s="76">
        <v>-16048</v>
      </c>
      <c r="I19" s="6">
        <f t="shared" si="4"/>
        <v>-0.37598244474797915</v>
      </c>
      <c r="J19" s="6">
        <f t="shared" si="5"/>
        <v>-0.44205479452054797</v>
      </c>
      <c r="K19" s="6">
        <f t="shared" si="6"/>
        <v>-0.422460315371048</v>
      </c>
    </row>
    <row r="20" spans="1:17">
      <c r="A20" t="s">
        <v>50</v>
      </c>
      <c r="B20" s="75">
        <f>SUM(B18:B19)</f>
        <v>9333</v>
      </c>
      <c r="C20" s="30">
        <f t="shared" si="0"/>
        <v>595</v>
      </c>
      <c r="D20" s="7">
        <f t="shared" si="1"/>
        <v>6.8093385214007776E-2</v>
      </c>
      <c r="E20" s="75">
        <f>SUM(E18:E19)</f>
        <v>8738</v>
      </c>
      <c r="F20" s="30">
        <f t="shared" si="2"/>
        <v>-128</v>
      </c>
      <c r="G20" s="7">
        <f t="shared" si="3"/>
        <v>-1.4437175727498308E-2</v>
      </c>
      <c r="H20" s="75">
        <f>SUM(H18:H19)</f>
        <v>8866</v>
      </c>
      <c r="I20" s="7">
        <f t="shared" si="4"/>
        <v>0.20898363151884278</v>
      </c>
      <c r="J20" s="7">
        <f t="shared" si="5"/>
        <v>0.2393972602739726</v>
      </c>
      <c r="K20" s="7">
        <f t="shared" si="6"/>
        <v>0.23339563534893515</v>
      </c>
      <c r="P20" s="12"/>
      <c r="Q20" s="12"/>
    </row>
    <row r="21" spans="1:17">
      <c r="A21" t="s">
        <v>51</v>
      </c>
      <c r="B21" s="76">
        <v>858</v>
      </c>
      <c r="C21" s="29">
        <f t="shared" si="0"/>
        <v>858</v>
      </c>
      <c r="D21" s="6"/>
      <c r="E21" s="76"/>
      <c r="F21" s="29">
        <f t="shared" si="2"/>
        <v>0</v>
      </c>
      <c r="G21" s="6"/>
      <c r="H21" s="76"/>
      <c r="I21" s="6">
        <f t="shared" si="4"/>
        <v>1.9212252849369667E-2</v>
      </c>
      <c r="J21" s="6">
        <f t="shared" si="5"/>
        <v>0</v>
      </c>
      <c r="K21" s="6">
        <f t="shared" si="6"/>
        <v>0</v>
      </c>
      <c r="P21" s="12"/>
      <c r="Q21" s="12"/>
    </row>
    <row r="22" spans="1:17">
      <c r="A22" t="s">
        <v>52</v>
      </c>
      <c r="B22" s="76">
        <v>13444</v>
      </c>
      <c r="C22" s="29">
        <f t="shared" si="0"/>
        <v>3393</v>
      </c>
      <c r="D22" s="6">
        <f t="shared" si="1"/>
        <v>0.33757835041289425</v>
      </c>
      <c r="E22" s="76">
        <v>10051</v>
      </c>
      <c r="F22" s="29">
        <f t="shared" si="2"/>
        <v>-462</v>
      </c>
      <c r="G22" s="6">
        <f t="shared" si="3"/>
        <v>-4.3945591172833635E-2</v>
      </c>
      <c r="H22" s="76">
        <v>10513</v>
      </c>
      <c r="I22" s="6">
        <f t="shared" si="4"/>
        <v>0.30103674511296713</v>
      </c>
      <c r="J22" s="6">
        <f t="shared" si="5"/>
        <v>0.27536986301369865</v>
      </c>
      <c r="K22" s="6">
        <f t="shared" si="6"/>
        <v>0.27675257324874297</v>
      </c>
      <c r="P22" s="12"/>
      <c r="Q22" s="12"/>
    </row>
    <row r="23" spans="1:17">
      <c r="A23" t="s">
        <v>53</v>
      </c>
      <c r="B23" s="76">
        <v>6379</v>
      </c>
      <c r="C23" s="29">
        <f t="shared" si="0"/>
        <v>3722</v>
      </c>
      <c r="D23" s="6">
        <f t="shared" si="1"/>
        <v>1.4008280015054573</v>
      </c>
      <c r="E23" s="76">
        <v>2657</v>
      </c>
      <c r="F23" s="29">
        <f t="shared" si="2"/>
        <v>-279</v>
      </c>
      <c r="G23" s="6">
        <f t="shared" si="3"/>
        <v>-9.5027247956403271E-2</v>
      </c>
      <c r="H23" s="76">
        <v>2936</v>
      </c>
      <c r="I23" s="6">
        <f t="shared" si="4"/>
        <v>0.14283794979735329</v>
      </c>
      <c r="J23" s="6">
        <f t="shared" si="5"/>
        <v>7.2794520547945205E-2</v>
      </c>
      <c r="K23" s="6">
        <f t="shared" si="6"/>
        <v>7.7289599073367202E-2</v>
      </c>
      <c r="P23" s="12"/>
      <c r="Q23" s="12"/>
    </row>
    <row r="24" spans="1:17">
      <c r="A24" t="s">
        <v>54</v>
      </c>
      <c r="B24" s="76">
        <v>1674</v>
      </c>
      <c r="C24" s="29">
        <f t="shared" si="0"/>
        <v>329</v>
      </c>
      <c r="D24" s="6">
        <f t="shared" si="1"/>
        <v>0.24460966542750928</v>
      </c>
      <c r="E24" s="76">
        <v>1345</v>
      </c>
      <c r="F24" s="29">
        <f t="shared" si="2"/>
        <v>-50</v>
      </c>
      <c r="G24" s="6">
        <f t="shared" si="3"/>
        <v>-3.5842293906810034E-2</v>
      </c>
      <c r="H24" s="76">
        <v>1395</v>
      </c>
      <c r="I24" s="6">
        <f t="shared" si="4"/>
        <v>3.7484045769049915E-2</v>
      </c>
      <c r="J24" s="6">
        <f t="shared" si="5"/>
        <v>3.6849315068493149E-2</v>
      </c>
      <c r="K24" s="6">
        <f t="shared" si="6"/>
        <v>3.6723089477979309E-2</v>
      </c>
      <c r="P24" s="12"/>
      <c r="Q24" s="12"/>
    </row>
    <row r="25" spans="1:17" ht="17.100000000000001" thickBot="1">
      <c r="A25" s="1" t="s">
        <v>55</v>
      </c>
      <c r="B25" s="159">
        <f>B17+B20+B21+B22+B23+B24</f>
        <v>44659</v>
      </c>
      <c r="C25" s="32">
        <f t="shared" si="0"/>
        <v>8159</v>
      </c>
      <c r="D25" s="8">
        <f t="shared" si="1"/>
        <v>0.22353424657534246</v>
      </c>
      <c r="E25" s="159">
        <f>E17+E20+E22+E23+E24</f>
        <v>36500</v>
      </c>
      <c r="F25" s="32">
        <f t="shared" si="2"/>
        <v>-1487</v>
      </c>
      <c r="G25" s="8">
        <f t="shared" si="3"/>
        <v>-3.914497064785321E-2</v>
      </c>
      <c r="H25" s="159">
        <f>H17+H20+H22+H23+H24</f>
        <v>37987</v>
      </c>
      <c r="I25" s="8">
        <f t="shared" si="4"/>
        <v>1</v>
      </c>
      <c r="J25" s="8">
        <f t="shared" si="5"/>
        <v>1</v>
      </c>
      <c r="K25" s="8">
        <f t="shared" si="6"/>
        <v>1</v>
      </c>
      <c r="P25" s="12"/>
      <c r="Q25" s="12"/>
    </row>
    <row r="26" spans="1:17" ht="17.100000000000001" thickTop="1">
      <c r="A26" s="38" t="s">
        <v>56</v>
      </c>
      <c r="B26" s="76"/>
      <c r="C26" s="29"/>
      <c r="D26" s="6"/>
      <c r="E26" s="76"/>
      <c r="F26" s="29"/>
      <c r="G26" s="6"/>
      <c r="H26" s="76"/>
      <c r="I26" s="6"/>
      <c r="J26" s="6"/>
      <c r="K26" s="6"/>
      <c r="P26" s="12"/>
      <c r="Q26" s="12"/>
    </row>
    <row r="27" spans="1:17">
      <c r="A27" s="1" t="s">
        <v>57</v>
      </c>
      <c r="B27" s="76">
        <v>2795</v>
      </c>
      <c r="C27" s="29">
        <f t="shared" si="0"/>
        <v>1584</v>
      </c>
      <c r="D27" s="6">
        <f t="shared" si="1"/>
        <v>1.3080099091659785</v>
      </c>
      <c r="E27" s="76">
        <v>1211</v>
      </c>
      <c r="F27" s="29">
        <f t="shared" si="2"/>
        <v>-642</v>
      </c>
      <c r="G27" s="6">
        <f t="shared" si="3"/>
        <v>-0.34646519158121963</v>
      </c>
      <c r="H27" s="76">
        <v>1853</v>
      </c>
      <c r="I27" s="6">
        <f t="shared" si="4"/>
        <v>6.25853691305224E-2</v>
      </c>
      <c r="J27" s="6">
        <f t="shared" si="5"/>
        <v>3.3178082191780825E-2</v>
      </c>
      <c r="K27" s="6">
        <f t="shared" si="6"/>
        <v>4.8779845736699398E-2</v>
      </c>
      <c r="P27" s="12"/>
      <c r="Q27" s="12"/>
    </row>
    <row r="28" spans="1:17">
      <c r="A28" t="s">
        <v>58</v>
      </c>
      <c r="B28" s="76">
        <v>2228</v>
      </c>
      <c r="C28" s="29">
        <f t="shared" si="0"/>
        <v>-38</v>
      </c>
      <c r="D28" s="6">
        <f t="shared" si="1"/>
        <v>-1.6769638128861428E-2</v>
      </c>
      <c r="E28" s="76">
        <v>2266</v>
      </c>
      <c r="F28" s="29">
        <f t="shared" si="2"/>
        <v>321</v>
      </c>
      <c r="G28" s="6">
        <f t="shared" si="3"/>
        <v>0.16503856041131104</v>
      </c>
      <c r="H28" s="76">
        <v>1945</v>
      </c>
      <c r="I28" s="6">
        <f t="shared" si="4"/>
        <v>4.9889160079715174E-2</v>
      </c>
      <c r="J28" s="6">
        <f t="shared" si="5"/>
        <v>6.2082191780821916E-2</v>
      </c>
      <c r="K28" s="6">
        <f t="shared" si="6"/>
        <v>5.1201726906573299E-2</v>
      </c>
    </row>
    <row r="29" spans="1:17">
      <c r="A29" t="s">
        <v>59</v>
      </c>
      <c r="B29" s="76">
        <v>702</v>
      </c>
      <c r="C29" s="29">
        <f t="shared" si="0"/>
        <v>-47</v>
      </c>
      <c r="D29" s="6">
        <f t="shared" si="1"/>
        <v>-6.2750333778371165E-2</v>
      </c>
      <c r="E29" s="76">
        <v>749</v>
      </c>
      <c r="F29" s="29">
        <f t="shared" si="2"/>
        <v>-121</v>
      </c>
      <c r="G29" s="6">
        <f t="shared" si="3"/>
        <v>-0.13908045977011493</v>
      </c>
      <c r="H29" s="76">
        <v>870</v>
      </c>
      <c r="I29" s="6">
        <f t="shared" si="4"/>
        <v>1.5719115967666092E-2</v>
      </c>
      <c r="J29" s="6">
        <f t="shared" si="5"/>
        <v>2.052054794520548E-2</v>
      </c>
      <c r="K29" s="6">
        <f t="shared" si="6"/>
        <v>2.2902571932503224E-2</v>
      </c>
      <c r="P29" s="12"/>
    </row>
    <row r="30" spans="1:17">
      <c r="A30" t="s">
        <v>60</v>
      </c>
      <c r="B30" s="76">
        <v>194</v>
      </c>
      <c r="C30" s="29">
        <f t="shared" si="0"/>
        <v>-49</v>
      </c>
      <c r="D30" s="6">
        <f t="shared" si="1"/>
        <v>-0.20164609053497942</v>
      </c>
      <c r="E30" s="76">
        <v>243</v>
      </c>
      <c r="F30" s="29">
        <f t="shared" si="2"/>
        <v>-67</v>
      </c>
      <c r="G30" s="6">
        <f t="shared" si="3"/>
        <v>-0.21612903225806451</v>
      </c>
      <c r="H30" s="76">
        <v>310</v>
      </c>
      <c r="I30" s="6">
        <f t="shared" si="4"/>
        <v>4.3440291990416262E-3</v>
      </c>
      <c r="J30" s="6">
        <f t="shared" si="5"/>
        <v>6.6575342465753423E-3</v>
      </c>
      <c r="K30" s="6">
        <f t="shared" si="6"/>
        <v>8.1606865506620684E-3</v>
      </c>
      <c r="P30" s="12"/>
      <c r="Q30" s="12"/>
    </row>
    <row r="31" spans="1:17">
      <c r="A31" t="s">
        <v>61</v>
      </c>
      <c r="B31" s="76">
        <v>247</v>
      </c>
      <c r="C31" s="29">
        <f t="shared" si="0"/>
        <v>247</v>
      </c>
      <c r="D31" s="6"/>
      <c r="E31" s="76"/>
      <c r="F31" s="29">
        <f t="shared" si="2"/>
        <v>0</v>
      </c>
      <c r="G31" s="6"/>
      <c r="H31" s="76"/>
      <c r="I31" s="6">
        <f t="shared" si="4"/>
        <v>5.5308000626973289E-3</v>
      </c>
      <c r="J31" s="6">
        <f t="shared" si="5"/>
        <v>0</v>
      </c>
      <c r="K31" s="6">
        <f t="shared" si="6"/>
        <v>0</v>
      </c>
    </row>
    <row r="32" spans="1:17">
      <c r="A32" t="s">
        <v>62</v>
      </c>
      <c r="B32" s="76">
        <v>3056</v>
      </c>
      <c r="C32" s="29">
        <f t="shared" si="0"/>
        <v>281</v>
      </c>
      <c r="D32" s="6">
        <f t="shared" si="1"/>
        <v>0.10126126126126127</v>
      </c>
      <c r="E32" s="76">
        <v>2775</v>
      </c>
      <c r="F32" s="29">
        <f t="shared" si="2"/>
        <v>66</v>
      </c>
      <c r="G32" s="6">
        <f t="shared" si="3"/>
        <v>2.4363233665559248E-2</v>
      </c>
      <c r="H32" s="76">
        <v>2709</v>
      </c>
      <c r="I32" s="6">
        <f t="shared" si="4"/>
        <v>6.8429655836449541E-2</v>
      </c>
      <c r="J32" s="6">
        <f t="shared" si="5"/>
        <v>7.6027397260273979E-2</v>
      </c>
      <c r="K32" s="6">
        <f t="shared" si="6"/>
        <v>7.1313870534656598E-2</v>
      </c>
    </row>
    <row r="33" spans="1:17">
      <c r="A33" t="s">
        <v>63</v>
      </c>
      <c r="B33" s="75">
        <f>SUM(B27:B32)</f>
        <v>9222</v>
      </c>
      <c r="C33" s="30">
        <f t="shared" si="0"/>
        <v>1978</v>
      </c>
      <c r="D33" s="7">
        <f t="shared" si="1"/>
        <v>0.27305356156819438</v>
      </c>
      <c r="E33" s="75">
        <f>SUM(E27:E32)</f>
        <v>7244</v>
      </c>
      <c r="F33" s="30">
        <f t="shared" si="2"/>
        <v>-443</v>
      </c>
      <c r="G33" s="7">
        <f t="shared" si="3"/>
        <v>-5.7629764537530895E-2</v>
      </c>
      <c r="H33" s="75">
        <f>SUM(H27:H32)</f>
        <v>7687</v>
      </c>
      <c r="I33" s="7">
        <f t="shared" si="4"/>
        <v>0.20649813027609218</v>
      </c>
      <c r="J33" s="7">
        <f t="shared" si="5"/>
        <v>0.19846575342465753</v>
      </c>
      <c r="K33" s="7">
        <f t="shared" si="6"/>
        <v>0.2023587016610946</v>
      </c>
      <c r="P33" s="12"/>
      <c r="Q33" s="12"/>
    </row>
    <row r="34" spans="1:17">
      <c r="A34" t="s">
        <v>64</v>
      </c>
      <c r="B34" s="76">
        <v>17518</v>
      </c>
      <c r="C34" s="29">
        <f t="shared" si="0"/>
        <v>4107</v>
      </c>
      <c r="D34" s="6">
        <f t="shared" si="1"/>
        <v>0.30624114532846169</v>
      </c>
      <c r="E34" s="76">
        <v>13411</v>
      </c>
      <c r="F34" s="29">
        <f t="shared" si="2"/>
        <v>1315</v>
      </c>
      <c r="G34" s="6">
        <f t="shared" si="3"/>
        <v>0.10871362433862433</v>
      </c>
      <c r="H34" s="76">
        <v>12096</v>
      </c>
      <c r="I34" s="6">
        <f t="shared" si="4"/>
        <v>0.39226135829284131</v>
      </c>
      <c r="J34" s="6">
        <f t="shared" si="5"/>
        <v>0.36742465753424658</v>
      </c>
      <c r="K34" s="6">
        <f t="shared" si="6"/>
        <v>0.31842472424776896</v>
      </c>
      <c r="P34" s="12"/>
      <c r="Q34" s="12"/>
    </row>
    <row r="35" spans="1:17">
      <c r="A35" t="s">
        <v>65</v>
      </c>
      <c r="B35" s="76">
        <v>3911</v>
      </c>
      <c r="C35" s="29">
        <f t="shared" si="0"/>
        <v>924</v>
      </c>
      <c r="D35" s="6">
        <f t="shared" si="1"/>
        <v>0.30934047539337128</v>
      </c>
      <c r="E35" s="76">
        <v>2987</v>
      </c>
      <c r="F35" s="29">
        <f t="shared" si="2"/>
        <v>-633</v>
      </c>
      <c r="G35" s="6">
        <f t="shared" si="3"/>
        <v>-0.17486187845303866</v>
      </c>
      <c r="H35" s="76">
        <v>3620</v>
      </c>
      <c r="I35" s="6">
        <f t="shared" si="4"/>
        <v>8.7574732976555672E-2</v>
      </c>
      <c r="J35" s="6">
        <f t="shared" si="5"/>
        <v>8.1835616438356171E-2</v>
      </c>
      <c r="K35" s="6">
        <f t="shared" si="6"/>
        <v>9.5295759075473191E-2</v>
      </c>
      <c r="P35" s="12"/>
      <c r="Q35" s="12"/>
    </row>
    <row r="36" spans="1:17">
      <c r="A36" t="s">
        <v>66</v>
      </c>
      <c r="B36" s="76">
        <v>607</v>
      </c>
      <c r="C36" s="29">
        <f t="shared" si="0"/>
        <v>607</v>
      </c>
      <c r="D36" s="6"/>
      <c r="E36" s="76"/>
      <c r="F36" s="29">
        <f t="shared" si="2"/>
        <v>0</v>
      </c>
      <c r="G36" s="6"/>
      <c r="H36" s="76"/>
      <c r="I36" s="6">
        <f t="shared" si="4"/>
        <v>1.3591885174320965E-2</v>
      </c>
      <c r="J36" s="6">
        <f t="shared" si="5"/>
        <v>0</v>
      </c>
      <c r="K36" s="6">
        <f t="shared" si="6"/>
        <v>0</v>
      </c>
      <c r="P36" s="12"/>
      <c r="Q36" s="12"/>
    </row>
    <row r="37" spans="1:17">
      <c r="A37" t="s">
        <v>67</v>
      </c>
      <c r="B37" s="76">
        <v>3275</v>
      </c>
      <c r="C37" s="29">
        <f t="shared" si="0"/>
        <v>265</v>
      </c>
      <c r="D37" s="6">
        <f t="shared" si="1"/>
        <v>8.8039867109634545E-2</v>
      </c>
      <c r="E37" s="76">
        <v>3010</v>
      </c>
      <c r="F37" s="29">
        <f t="shared" si="2"/>
        <v>48</v>
      </c>
      <c r="G37" s="6">
        <f t="shared" si="3"/>
        <v>1.6205266711681297E-2</v>
      </c>
      <c r="H37" s="76">
        <v>2962</v>
      </c>
      <c r="I37" s="6">
        <f t="shared" si="4"/>
        <v>7.3333482612687254E-2</v>
      </c>
      <c r="J37" s="6">
        <f t="shared" si="5"/>
        <v>8.2465753424657534E-2</v>
      </c>
      <c r="K37" s="6">
        <f t="shared" si="6"/>
        <v>7.7974043751809829E-2</v>
      </c>
      <c r="P37" s="12"/>
      <c r="Q37" s="12"/>
    </row>
    <row r="38" spans="1:17">
      <c r="A38" s="1" t="s">
        <v>68</v>
      </c>
      <c r="B38" s="75">
        <f>SUM(B33:B37)</f>
        <v>34533</v>
      </c>
      <c r="C38" s="30">
        <f t="shared" si="0"/>
        <v>7881</v>
      </c>
      <c r="D38" s="7">
        <f t="shared" si="1"/>
        <v>0.29570013507429088</v>
      </c>
      <c r="E38" s="75">
        <f>SUM(E33:E37)</f>
        <v>26652</v>
      </c>
      <c r="F38" s="30">
        <f t="shared" si="2"/>
        <v>287</v>
      </c>
      <c r="G38" s="7">
        <f t="shared" si="3"/>
        <v>1.0885643846007965E-2</v>
      </c>
      <c r="H38" s="75">
        <f>SUM(H33:H37)</f>
        <v>26365</v>
      </c>
      <c r="I38" s="7">
        <f t="shared" si="4"/>
        <v>0.77325958933249739</v>
      </c>
      <c r="J38" s="7">
        <f t="shared" si="5"/>
        <v>0.73019178082191782</v>
      </c>
      <c r="K38" s="7">
        <f t="shared" si="6"/>
        <v>0.69405322873614661</v>
      </c>
      <c r="P38" s="12"/>
      <c r="Q38" s="12"/>
    </row>
    <row r="39" spans="1:17">
      <c r="A39" t="s">
        <v>69</v>
      </c>
      <c r="B39" s="76"/>
      <c r="C39" s="29"/>
      <c r="D39" s="6"/>
      <c r="E39" s="76"/>
      <c r="F39" s="29"/>
      <c r="G39" s="6"/>
      <c r="H39" s="76"/>
      <c r="I39" s="6"/>
      <c r="J39" s="6"/>
      <c r="K39" s="6"/>
    </row>
    <row r="40" spans="1:17">
      <c r="A40" s="1" t="s">
        <v>70</v>
      </c>
      <c r="B40" s="76"/>
      <c r="C40" s="29"/>
      <c r="D40" s="6"/>
      <c r="E40" s="76"/>
      <c r="F40" s="29"/>
      <c r="G40" s="6"/>
      <c r="H40" s="76"/>
      <c r="I40" s="6"/>
      <c r="J40" s="6"/>
      <c r="K40" s="6"/>
    </row>
    <row r="41" spans="1:17">
      <c r="A41" t="s">
        <v>71</v>
      </c>
      <c r="B41" s="76">
        <v>9</v>
      </c>
      <c r="C41" s="29">
        <f t="shared" si="0"/>
        <v>0</v>
      </c>
      <c r="D41" s="6">
        <f t="shared" si="1"/>
        <v>0</v>
      </c>
      <c r="E41" s="76">
        <v>9</v>
      </c>
      <c r="F41" s="29">
        <f t="shared" si="2"/>
        <v>0</v>
      </c>
      <c r="G41" s="6">
        <f t="shared" si="3"/>
        <v>0</v>
      </c>
      <c r="H41" s="76">
        <v>9</v>
      </c>
      <c r="I41" s="6">
        <f t="shared" si="4"/>
        <v>2.0152712779059092E-4</v>
      </c>
      <c r="J41" s="6">
        <f t="shared" si="5"/>
        <v>2.4657534246575342E-4</v>
      </c>
      <c r="K41" s="6">
        <f t="shared" si="6"/>
        <v>2.3692315792244714E-4</v>
      </c>
    </row>
    <row r="42" spans="1:17">
      <c r="A42" t="s">
        <v>72</v>
      </c>
      <c r="B42" s="76">
        <v>5907</v>
      </c>
      <c r="C42" s="29">
        <f t="shared" si="0"/>
        <v>264</v>
      </c>
      <c r="D42" s="6">
        <f t="shared" si="1"/>
        <v>4.6783625730994149E-2</v>
      </c>
      <c r="E42" s="76">
        <v>5643</v>
      </c>
      <c r="F42" s="29">
        <f t="shared" si="2"/>
        <v>291</v>
      </c>
      <c r="G42" s="6">
        <f t="shared" si="3"/>
        <v>5.4372197309417038E-2</v>
      </c>
      <c r="H42" s="76">
        <v>5352</v>
      </c>
      <c r="I42" s="6">
        <f t="shared" si="4"/>
        <v>0.13226897153989117</v>
      </c>
      <c r="J42" s="6">
        <f t="shared" si="5"/>
        <v>0.15460273972602739</v>
      </c>
      <c r="K42" s="6">
        <f t="shared" si="6"/>
        <v>0.1408903045778819</v>
      </c>
      <c r="P42" s="12"/>
      <c r="Q42" s="12"/>
    </row>
    <row r="43" spans="1:17">
      <c r="A43" t="s">
        <v>73</v>
      </c>
      <c r="B43" s="76">
        <v>42135</v>
      </c>
      <c r="C43" s="29">
        <f t="shared" si="0"/>
        <v>1499</v>
      </c>
      <c r="D43" s="6">
        <f t="shared" si="1"/>
        <v>3.6888473274928633E-2</v>
      </c>
      <c r="E43" s="76">
        <v>40636</v>
      </c>
      <c r="F43" s="29">
        <f t="shared" si="2"/>
        <v>1521</v>
      </c>
      <c r="G43" s="6">
        <f t="shared" si="3"/>
        <v>3.8885338105586094E-2</v>
      </c>
      <c r="H43" s="76">
        <v>39115</v>
      </c>
      <c r="I43" s="6">
        <f t="shared" si="4"/>
        <v>0.94348283660628318</v>
      </c>
      <c r="J43" s="6">
        <f t="shared" si="5"/>
        <v>1.1133150684931508</v>
      </c>
      <c r="K43" s="6">
        <f t="shared" si="6"/>
        <v>1.0296943691262801</v>
      </c>
      <c r="P43" s="12"/>
      <c r="Q43" s="12"/>
    </row>
    <row r="44" spans="1:17">
      <c r="A44" t="s">
        <v>74</v>
      </c>
      <c r="B44" s="76">
        <v>-29849</v>
      </c>
      <c r="C44" s="29">
        <f t="shared" si="0"/>
        <v>-223</v>
      </c>
      <c r="D44" s="6">
        <f t="shared" si="1"/>
        <v>7.5271720785796258E-3</v>
      </c>
      <c r="E44" s="76">
        <v>-29626</v>
      </c>
      <c r="F44" s="29">
        <f t="shared" si="2"/>
        <v>-3739</v>
      </c>
      <c r="G44" s="6">
        <f t="shared" si="3"/>
        <v>0.1444354309112682</v>
      </c>
      <c r="H44" s="76">
        <v>-25887</v>
      </c>
      <c r="I44" s="6">
        <f t="shared" si="4"/>
        <v>-0.66837591526903872</v>
      </c>
      <c r="J44" s="6">
        <f t="shared" si="5"/>
        <v>-0.81167123287671228</v>
      </c>
      <c r="K44" s="6">
        <f t="shared" si="6"/>
        <v>-0.68146997657093211</v>
      </c>
      <c r="P44" s="12"/>
      <c r="Q44" s="12"/>
    </row>
    <row r="45" spans="1:17">
      <c r="A45" t="s">
        <v>75</v>
      </c>
      <c r="B45" s="76">
        <v>-8139</v>
      </c>
      <c r="C45" s="29">
        <f t="shared" si="0"/>
        <v>-1273</v>
      </c>
      <c r="D45" s="6">
        <f t="shared" si="1"/>
        <v>0.1854063501310807</v>
      </c>
      <c r="E45" s="76">
        <v>-6866</v>
      </c>
      <c r="F45" s="29">
        <f t="shared" si="2"/>
        <v>160</v>
      </c>
      <c r="G45" s="6">
        <f t="shared" si="3"/>
        <v>-2.2772559066325079E-2</v>
      </c>
      <c r="H45" s="76">
        <v>-7026</v>
      </c>
      <c r="I45" s="6">
        <f t="shared" si="4"/>
        <v>-0.18224769923195772</v>
      </c>
      <c r="J45" s="6">
        <f t="shared" si="5"/>
        <v>-0.1881095890410959</v>
      </c>
      <c r="K45" s="6">
        <f t="shared" si="6"/>
        <v>-0.18495801195145709</v>
      </c>
      <c r="P45" s="12"/>
      <c r="Q45" s="12"/>
    </row>
    <row r="46" spans="1:17">
      <c r="A46" t="s">
        <v>76</v>
      </c>
      <c r="B46" s="75">
        <f>SUM(B41:B45)</f>
        <v>10063</v>
      </c>
      <c r="C46" s="30">
        <f t="shared" si="0"/>
        <v>267</v>
      </c>
      <c r="D46" s="7">
        <f t="shared" si="1"/>
        <v>2.7256022866476114E-2</v>
      </c>
      <c r="E46" s="75">
        <f>SUM(E41:E45)</f>
        <v>9796</v>
      </c>
      <c r="F46" s="30">
        <f t="shared" si="2"/>
        <v>-1767</v>
      </c>
      <c r="G46" s="7">
        <f t="shared" si="3"/>
        <v>-0.15281501340482573</v>
      </c>
      <c r="H46" s="75">
        <f>SUM(H41:H45)</f>
        <v>11563</v>
      </c>
      <c r="I46" s="7">
        <f t="shared" si="4"/>
        <v>0.22532972077296851</v>
      </c>
      <c r="J46" s="7">
        <f t="shared" si="5"/>
        <v>0.26838356164383564</v>
      </c>
      <c r="K46" s="7">
        <f t="shared" si="6"/>
        <v>0.30439360833969514</v>
      </c>
      <c r="P46" s="12"/>
      <c r="Q46" s="12"/>
    </row>
    <row r="47" spans="1:17">
      <c r="A47" t="s">
        <v>77</v>
      </c>
      <c r="B47" s="76">
        <v>63</v>
      </c>
      <c r="C47" s="29">
        <f t="shared" si="0"/>
        <v>11</v>
      </c>
      <c r="D47" s="6">
        <f t="shared" si="1"/>
        <v>0.21153846153846154</v>
      </c>
      <c r="E47" s="76">
        <v>52</v>
      </c>
      <c r="F47" s="29">
        <f t="shared" si="2"/>
        <v>-7</v>
      </c>
      <c r="G47" s="6">
        <f t="shared" si="3"/>
        <v>-0.11864406779661017</v>
      </c>
      <c r="H47" s="76">
        <v>59</v>
      </c>
      <c r="I47" s="6">
        <f t="shared" si="4"/>
        <v>1.4106898945341366E-3</v>
      </c>
      <c r="J47" s="6">
        <f t="shared" si="5"/>
        <v>1.4246575342465753E-3</v>
      </c>
      <c r="K47" s="6">
        <f t="shared" si="6"/>
        <v>1.5531629241582647E-3</v>
      </c>
    </row>
    <row r="48" spans="1:17">
      <c r="A48" t="s">
        <v>78</v>
      </c>
      <c r="B48" s="77">
        <f>SUM(B46:B47)</f>
        <v>10126</v>
      </c>
      <c r="C48" s="30">
        <f t="shared" si="0"/>
        <v>278</v>
      </c>
      <c r="D48" s="7">
        <f t="shared" si="1"/>
        <v>2.8229082047116164E-2</v>
      </c>
      <c r="E48" s="75">
        <f>SUM(E46:E47)</f>
        <v>9848</v>
      </c>
      <c r="F48" s="30">
        <f t="shared" si="2"/>
        <v>-1774</v>
      </c>
      <c r="G48" s="7">
        <f t="shared" si="3"/>
        <v>-0.15264154190328688</v>
      </c>
      <c r="H48" s="77">
        <f>SUM(H46:H47)</f>
        <v>11622</v>
      </c>
      <c r="I48" s="7">
        <f t="shared" si="4"/>
        <v>0.22674041066750264</v>
      </c>
      <c r="J48" s="7">
        <f t="shared" si="5"/>
        <v>0.26980821917808218</v>
      </c>
      <c r="K48" s="7">
        <f t="shared" si="6"/>
        <v>0.30594677126385345</v>
      </c>
      <c r="P48" s="12"/>
      <c r="Q48" s="12"/>
    </row>
    <row r="49" spans="1:17" ht="17.100000000000001" thickBot="1">
      <c r="A49" s="1" t="s">
        <v>79</v>
      </c>
      <c r="B49" s="20">
        <f>B38+B48</f>
        <v>44659</v>
      </c>
      <c r="C49" s="31">
        <f t="shared" si="0"/>
        <v>8159</v>
      </c>
      <c r="D49" s="8">
        <f t="shared" si="1"/>
        <v>0.22353424657534246</v>
      </c>
      <c r="E49" s="20">
        <f>E38+E48</f>
        <v>36500</v>
      </c>
      <c r="F49" s="31">
        <f t="shared" si="2"/>
        <v>-1487</v>
      </c>
      <c r="G49" s="8">
        <f t="shared" si="3"/>
        <v>-3.914497064785321E-2</v>
      </c>
      <c r="H49" s="20">
        <f>H38+H48</f>
        <v>37987</v>
      </c>
      <c r="I49" s="8">
        <f t="shared" si="4"/>
        <v>1</v>
      </c>
      <c r="J49" s="8">
        <f t="shared" si="5"/>
        <v>1</v>
      </c>
      <c r="K49" s="8">
        <f t="shared" si="6"/>
        <v>1</v>
      </c>
      <c r="P49" s="11"/>
      <c r="Q49" s="11"/>
    </row>
    <row r="50" spans="1:17" ht="17.100000000000001" thickTop="1">
      <c r="H50" s="5"/>
    </row>
    <row r="51" spans="1:17">
      <c r="A51" t="s">
        <v>80</v>
      </c>
      <c r="B51">
        <v>235.37</v>
      </c>
      <c r="E51">
        <v>190.54</v>
      </c>
      <c r="H51">
        <v>176.42</v>
      </c>
    </row>
  </sheetData>
  <mergeCells count="5">
    <mergeCell ref="I4:K4"/>
    <mergeCell ref="A1:H1"/>
    <mergeCell ref="A2:H2"/>
    <mergeCell ref="A3:H3"/>
    <mergeCell ref="A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42D5-107C-D14F-966F-AC4F45B126FB}">
  <dimension ref="A1:H46"/>
  <sheetViews>
    <sheetView zoomScale="93" workbookViewId="0">
      <pane xSplit="1" topLeftCell="E1" activePane="topRight" state="frozen"/>
      <selection pane="topRight" activeCell="B14" sqref="B14"/>
    </sheetView>
  </sheetViews>
  <sheetFormatPr defaultColWidth="11" defaultRowHeight="15.95"/>
  <cols>
    <col min="1" max="1" width="95" customWidth="1"/>
    <col min="2" max="4" width="23.875" customWidth="1"/>
    <col min="5" max="7" width="28.5" customWidth="1"/>
    <col min="8" max="8" width="27" customWidth="1"/>
  </cols>
  <sheetData>
    <row r="1" spans="1:8">
      <c r="A1" s="145" t="s">
        <v>0</v>
      </c>
      <c r="B1" s="145"/>
      <c r="C1" s="145"/>
      <c r="D1" s="145"/>
      <c r="E1" s="145"/>
      <c r="F1" s="145"/>
      <c r="G1" s="145"/>
      <c r="H1" s="145"/>
    </row>
    <row r="2" spans="1:8">
      <c r="A2" s="145" t="s">
        <v>81</v>
      </c>
      <c r="B2" s="145"/>
      <c r="C2" s="145"/>
      <c r="D2" s="145"/>
      <c r="E2" s="145"/>
      <c r="F2" s="145"/>
      <c r="G2" s="145"/>
      <c r="H2" s="145"/>
    </row>
    <row r="3" spans="1:8">
      <c r="A3" s="145" t="s">
        <v>2</v>
      </c>
      <c r="B3" s="145"/>
      <c r="C3" s="145"/>
      <c r="D3" s="145"/>
      <c r="E3" s="145"/>
      <c r="F3" s="145"/>
      <c r="G3" s="145"/>
      <c r="H3" s="145"/>
    </row>
    <row r="4" spans="1:8">
      <c r="A4" s="145" t="s">
        <v>33</v>
      </c>
      <c r="B4" s="145"/>
      <c r="C4" s="145"/>
      <c r="D4" s="145"/>
      <c r="E4" s="145"/>
      <c r="F4" s="145"/>
      <c r="G4" s="145"/>
      <c r="H4" s="145"/>
    </row>
    <row r="5" spans="1:8">
      <c r="B5" s="146" t="s">
        <v>5</v>
      </c>
      <c r="C5" s="146"/>
      <c r="D5" s="146"/>
      <c r="E5" s="146"/>
      <c r="F5" s="146"/>
      <c r="G5" s="146"/>
      <c r="H5" s="146"/>
    </row>
    <row r="6" spans="1:8">
      <c r="B6" s="27" t="s">
        <v>6</v>
      </c>
      <c r="C6" s="27" t="s">
        <v>7</v>
      </c>
      <c r="D6" s="27" t="s">
        <v>8</v>
      </c>
      <c r="E6" s="27" t="s">
        <v>9</v>
      </c>
      <c r="F6" s="27" t="s">
        <v>7</v>
      </c>
      <c r="G6" s="27" t="s">
        <v>8</v>
      </c>
      <c r="H6" s="27" t="s">
        <v>10</v>
      </c>
    </row>
    <row r="7" spans="1:8">
      <c r="A7" s="1" t="s">
        <v>82</v>
      </c>
    </row>
    <row r="8" spans="1:8">
      <c r="A8" t="s">
        <v>23</v>
      </c>
      <c r="B8" s="11">
        <v>4582</v>
      </c>
      <c r="C8" s="28">
        <f>B8-E8</f>
        <v>-781</v>
      </c>
      <c r="D8" s="6">
        <f>C8/E8</f>
        <v>-0.14562744732425881</v>
      </c>
      <c r="E8" s="11">
        <v>5363</v>
      </c>
      <c r="F8" s="28">
        <f>E8-H8</f>
        <v>494</v>
      </c>
      <c r="G8" s="6">
        <f>F8/H8</f>
        <v>0.10145820497021976</v>
      </c>
      <c r="H8" s="11">
        <v>4869</v>
      </c>
    </row>
    <row r="9" spans="1:8">
      <c r="A9" s="1" t="s">
        <v>83</v>
      </c>
      <c r="C9" s="29"/>
      <c r="D9" s="6"/>
      <c r="F9" s="29"/>
      <c r="G9" s="6"/>
    </row>
    <row r="10" spans="1:8">
      <c r="A10" t="s">
        <v>84</v>
      </c>
      <c r="B10" s="76">
        <v>1593</v>
      </c>
      <c r="C10" s="29">
        <f t="shared" ref="C10:C45" si="0">B10-E10</f>
        <v>105</v>
      </c>
      <c r="D10" s="6">
        <f t="shared" ref="D10:D45" si="1">C10/E10</f>
        <v>7.0564516129032265E-2</v>
      </c>
      <c r="E10" s="76">
        <v>1488</v>
      </c>
      <c r="F10" s="29">
        <f t="shared" ref="F10:F44" si="2">E10-H10</f>
        <v>-56</v>
      </c>
      <c r="G10" s="6">
        <f t="shared" ref="G10:G45" si="3">F10/H10</f>
        <v>-3.6269430051813469E-2</v>
      </c>
      <c r="H10" s="76">
        <v>1544</v>
      </c>
    </row>
    <row r="11" spans="1:8">
      <c r="A11" t="s">
        <v>85</v>
      </c>
      <c r="B11" s="76">
        <v>-210</v>
      </c>
      <c r="C11" s="29">
        <f t="shared" si="0"/>
        <v>160</v>
      </c>
      <c r="D11" s="6">
        <f t="shared" si="1"/>
        <v>-0.43243243243243246</v>
      </c>
      <c r="E11" s="76">
        <v>-370</v>
      </c>
      <c r="F11" s="29">
        <f t="shared" si="2"/>
        <v>597</v>
      </c>
      <c r="G11" s="6">
        <f t="shared" si="3"/>
        <v>-0.61737331954498453</v>
      </c>
      <c r="H11" s="76">
        <v>-967</v>
      </c>
    </row>
    <row r="12" spans="1:8">
      <c r="A12" t="s">
        <v>86</v>
      </c>
      <c r="B12" s="76">
        <v>357</v>
      </c>
      <c r="C12" s="29">
        <f t="shared" si="0"/>
        <v>-53</v>
      </c>
      <c r="D12" s="6">
        <f t="shared" si="1"/>
        <v>-0.12926829268292683</v>
      </c>
      <c r="E12" s="76">
        <v>410</v>
      </c>
      <c r="F12" s="29">
        <f t="shared" si="2"/>
        <v>76</v>
      </c>
      <c r="G12" s="6">
        <f t="shared" si="3"/>
        <v>0.22754491017964071</v>
      </c>
      <c r="H12" s="76">
        <v>334</v>
      </c>
    </row>
    <row r="13" spans="1:8">
      <c r="A13" t="s">
        <v>87</v>
      </c>
      <c r="B13" s="76">
        <v>278</v>
      </c>
      <c r="C13" s="29">
        <f t="shared" si="0"/>
        <v>-24</v>
      </c>
      <c r="D13" s="6">
        <f t="shared" si="1"/>
        <v>-7.9470198675496692E-2</v>
      </c>
      <c r="E13" s="76">
        <v>302</v>
      </c>
      <c r="F13" s="29">
        <f t="shared" si="2"/>
        <v>-22</v>
      </c>
      <c r="G13" s="6">
        <f t="shared" si="3"/>
        <v>-6.7901234567901231E-2</v>
      </c>
      <c r="H13" s="76">
        <v>324</v>
      </c>
    </row>
    <row r="14" spans="1:8">
      <c r="A14" t="s">
        <v>16</v>
      </c>
      <c r="B14" s="76">
        <v>-111</v>
      </c>
      <c r="C14" s="29">
        <f t="shared" si="0"/>
        <v>434</v>
      </c>
      <c r="D14" s="6">
        <f t="shared" si="1"/>
        <v>-0.79633027522935784</v>
      </c>
      <c r="E14" s="76">
        <v>-545</v>
      </c>
      <c r="F14" s="29">
        <f t="shared" si="2"/>
        <v>41</v>
      </c>
      <c r="G14" s="6">
        <f t="shared" si="3"/>
        <v>-6.9965870307167236E-2</v>
      </c>
      <c r="H14" s="76">
        <v>-586</v>
      </c>
    </row>
    <row r="15" spans="1:8">
      <c r="A15" t="s">
        <v>88</v>
      </c>
      <c r="B15" s="76">
        <v>-273</v>
      </c>
      <c r="C15" s="29">
        <f t="shared" si="0"/>
        <v>-216</v>
      </c>
      <c r="D15" s="6">
        <f t="shared" si="1"/>
        <v>3.7894736842105261</v>
      </c>
      <c r="E15" s="76">
        <v>-57</v>
      </c>
      <c r="F15" s="29">
        <f t="shared" si="2"/>
        <v>-164</v>
      </c>
      <c r="G15" s="6">
        <f t="shared" si="3"/>
        <v>-1.5327102803738317</v>
      </c>
      <c r="H15" s="76">
        <v>107</v>
      </c>
    </row>
    <row r="16" spans="1:8">
      <c r="A16" t="s">
        <v>89</v>
      </c>
      <c r="B16" s="76">
        <v>162</v>
      </c>
      <c r="C16" s="29">
        <f t="shared" si="0"/>
        <v>162</v>
      </c>
      <c r="D16" s="6" t="s">
        <v>90</v>
      </c>
      <c r="E16" s="76"/>
      <c r="F16" s="29">
        <f t="shared" si="2"/>
        <v>0</v>
      </c>
      <c r="G16" s="6"/>
      <c r="H16" s="76"/>
    </row>
    <row r="17" spans="1:8">
      <c r="A17" s="1" t="s">
        <v>91</v>
      </c>
      <c r="B17" s="76"/>
      <c r="C17" s="29"/>
      <c r="D17" s="6"/>
      <c r="E17" s="76"/>
      <c r="F17" s="29"/>
      <c r="G17" s="6"/>
      <c r="H17" s="76"/>
    </row>
    <row r="18" spans="1:8">
      <c r="A18" t="s">
        <v>92</v>
      </c>
      <c r="B18" s="76">
        <v>345</v>
      </c>
      <c r="C18" s="29">
        <f t="shared" si="0"/>
        <v>650</v>
      </c>
      <c r="D18" s="6">
        <f t="shared" si="1"/>
        <v>-2.1311475409836067</v>
      </c>
      <c r="E18" s="76">
        <v>-305</v>
      </c>
      <c r="F18" s="29">
        <f t="shared" si="2"/>
        <v>-60</v>
      </c>
      <c r="G18" s="6">
        <f t="shared" si="3"/>
        <v>0.24489795918367346</v>
      </c>
      <c r="H18" s="76">
        <v>-245</v>
      </c>
    </row>
    <row r="19" spans="1:8">
      <c r="A19" t="s">
        <v>40</v>
      </c>
      <c r="B19" s="76">
        <v>370</v>
      </c>
      <c r="C19" s="29">
        <f t="shared" si="0"/>
        <v>879</v>
      </c>
      <c r="D19" s="6">
        <f t="shared" si="1"/>
        <v>-1.7269155206286837</v>
      </c>
      <c r="E19" s="76">
        <v>-509</v>
      </c>
      <c r="F19" s="29">
        <f t="shared" si="2"/>
        <v>-122</v>
      </c>
      <c r="G19" s="6">
        <f t="shared" si="3"/>
        <v>0.3152454780361757</v>
      </c>
      <c r="H19" s="76">
        <v>-387</v>
      </c>
    </row>
    <row r="20" spans="1:8">
      <c r="A20" t="s">
        <v>58</v>
      </c>
      <c r="B20" s="76">
        <v>-117</v>
      </c>
      <c r="C20" s="29">
        <f t="shared" si="0"/>
        <v>-525</v>
      </c>
      <c r="D20" s="6">
        <f t="shared" si="1"/>
        <v>-1.286764705882353</v>
      </c>
      <c r="E20" s="76">
        <v>408</v>
      </c>
      <c r="F20" s="29">
        <f t="shared" si="2"/>
        <v>384</v>
      </c>
      <c r="G20" s="6">
        <f t="shared" si="3"/>
        <v>16</v>
      </c>
      <c r="H20" s="76">
        <v>24</v>
      </c>
    </row>
    <row r="21" spans="1:8">
      <c r="A21" t="s">
        <v>93</v>
      </c>
      <c r="B21" s="76">
        <v>205</v>
      </c>
      <c r="C21" s="29">
        <f t="shared" si="0"/>
        <v>71</v>
      </c>
      <c r="D21" s="6">
        <f t="shared" si="1"/>
        <v>0.52985074626865669</v>
      </c>
      <c r="E21" s="76">
        <v>134</v>
      </c>
      <c r="F21" s="29">
        <f t="shared" si="2"/>
        <v>-833</v>
      </c>
      <c r="G21" s="6">
        <f t="shared" si="3"/>
        <v>-0.86142709410548091</v>
      </c>
      <c r="H21" s="76">
        <v>967</v>
      </c>
    </row>
    <row r="22" spans="1:8">
      <c r="A22" t="s">
        <v>94</v>
      </c>
      <c r="B22" s="76">
        <v>-111</v>
      </c>
      <c r="C22" s="29">
        <f t="shared" si="0"/>
        <v>-231</v>
      </c>
      <c r="D22" s="6">
        <f t="shared" si="1"/>
        <v>-1.925</v>
      </c>
      <c r="E22" s="76">
        <v>120</v>
      </c>
      <c r="F22" s="29">
        <f t="shared" si="2"/>
        <v>-136</v>
      </c>
      <c r="G22" s="6">
        <f t="shared" si="3"/>
        <v>-0.53125</v>
      </c>
      <c r="H22" s="76">
        <v>256</v>
      </c>
    </row>
    <row r="23" spans="1:8">
      <c r="A23" t="s">
        <v>95</v>
      </c>
      <c r="B23" s="75">
        <f>SUM(B8:B22)</f>
        <v>7070</v>
      </c>
      <c r="C23" s="30">
        <f t="shared" si="0"/>
        <v>631</v>
      </c>
      <c r="D23" s="7">
        <f t="shared" si="1"/>
        <v>9.7996583320391364E-2</v>
      </c>
      <c r="E23" s="75">
        <f>SUM(E8:E22)</f>
        <v>6439</v>
      </c>
      <c r="F23" s="30">
        <f t="shared" si="2"/>
        <v>199</v>
      </c>
      <c r="G23" s="7">
        <f t="shared" si="3"/>
        <v>3.1891025641025639E-2</v>
      </c>
      <c r="H23" s="75">
        <f>SUM(H8:H22)</f>
        <v>6240</v>
      </c>
    </row>
    <row r="24" spans="1:8">
      <c r="A24" s="1" t="s">
        <v>96</v>
      </c>
      <c r="B24" s="76"/>
      <c r="C24" s="29"/>
      <c r="D24" s="6"/>
      <c r="E24" s="76"/>
      <c r="F24" s="29"/>
      <c r="G24" s="6"/>
      <c r="H24" s="76"/>
    </row>
    <row r="25" spans="1:8">
      <c r="A25" t="s">
        <v>97</v>
      </c>
      <c r="B25" s="76">
        <v>-1699</v>
      </c>
      <c r="C25" s="29">
        <f t="shared" si="0"/>
        <v>-122</v>
      </c>
      <c r="D25" s="6">
        <f t="shared" si="1"/>
        <v>7.7362079898541533E-2</v>
      </c>
      <c r="E25" s="76">
        <v>-1577</v>
      </c>
      <c r="F25" s="29">
        <f t="shared" si="2"/>
        <v>-204</v>
      </c>
      <c r="G25" s="6">
        <f t="shared" si="3"/>
        <v>0.14857975236707938</v>
      </c>
      <c r="H25" s="76">
        <v>-1373</v>
      </c>
    </row>
    <row r="26" spans="1:8">
      <c r="A26" t="s">
        <v>98</v>
      </c>
      <c r="B26" s="76">
        <v>123</v>
      </c>
      <c r="C26" s="29">
        <f t="shared" si="0"/>
        <v>-139</v>
      </c>
      <c r="D26" s="6">
        <f t="shared" si="1"/>
        <v>-0.53053435114503822</v>
      </c>
      <c r="E26" s="76">
        <v>262</v>
      </c>
      <c r="F26" s="29">
        <f t="shared" si="2"/>
        <v>213</v>
      </c>
      <c r="G26" s="6">
        <f t="shared" si="3"/>
        <v>4.3469387755102042</v>
      </c>
      <c r="H26" s="76">
        <v>49</v>
      </c>
    </row>
    <row r="27" spans="1:8">
      <c r="A27" t="s">
        <v>99</v>
      </c>
      <c r="B27" s="76">
        <v>-4984</v>
      </c>
      <c r="C27" s="29">
        <f t="shared" si="0"/>
        <v>-4997</v>
      </c>
      <c r="D27" s="6">
        <f t="shared" si="1"/>
        <v>-384.38461538461536</v>
      </c>
      <c r="E27" s="76">
        <v>13</v>
      </c>
      <c r="F27" s="29">
        <f t="shared" si="2"/>
        <v>2036</v>
      </c>
      <c r="G27" s="6">
        <f t="shared" si="3"/>
        <v>-1.0064260998517054</v>
      </c>
      <c r="H27" s="76">
        <v>-2023</v>
      </c>
    </row>
    <row r="28" spans="1:8">
      <c r="A28" t="s">
        <v>100</v>
      </c>
      <c r="B28" s="76">
        <v>-1635</v>
      </c>
      <c r="C28" s="29">
        <f t="shared" si="0"/>
        <v>193</v>
      </c>
      <c r="D28" s="6">
        <f t="shared" si="1"/>
        <v>-0.10557986870897156</v>
      </c>
      <c r="E28" s="76">
        <v>-1828</v>
      </c>
      <c r="F28" s="29">
        <f t="shared" si="2"/>
        <v>324</v>
      </c>
      <c r="G28" s="6">
        <f t="shared" si="3"/>
        <v>-0.15055762081784388</v>
      </c>
      <c r="H28" s="76">
        <v>-2152</v>
      </c>
    </row>
    <row r="29" spans="1:8">
      <c r="A29" t="s">
        <v>101</v>
      </c>
      <c r="B29" s="76">
        <v>1443</v>
      </c>
      <c r="C29" s="29">
        <f t="shared" si="0"/>
        <v>-1054</v>
      </c>
      <c r="D29" s="6">
        <f t="shared" si="1"/>
        <v>-0.42210652783340008</v>
      </c>
      <c r="E29" s="76">
        <v>2497</v>
      </c>
      <c r="F29" s="29">
        <f t="shared" si="2"/>
        <v>1143</v>
      </c>
      <c r="G29" s="6">
        <f t="shared" si="3"/>
        <v>0.84416543574593794</v>
      </c>
      <c r="H29" s="76">
        <v>1354</v>
      </c>
    </row>
    <row r="30" spans="1:8">
      <c r="A30" t="s">
        <v>102</v>
      </c>
      <c r="B30" s="76">
        <v>236</v>
      </c>
      <c r="C30" s="29">
        <f t="shared" si="0"/>
        <v>-610</v>
      </c>
      <c r="D30" s="6">
        <f t="shared" si="1"/>
        <v>-0.72104018912529555</v>
      </c>
      <c r="E30" s="76">
        <v>846</v>
      </c>
      <c r="F30" s="29">
        <f t="shared" si="2"/>
        <v>-219</v>
      </c>
      <c r="G30" s="6">
        <f t="shared" si="3"/>
        <v>-0.20563380281690141</v>
      </c>
      <c r="H30" s="76">
        <v>1065</v>
      </c>
    </row>
    <row r="31" spans="1:8">
      <c r="A31" t="s">
        <v>94</v>
      </c>
      <c r="B31" s="76">
        <v>72</v>
      </c>
      <c r="C31" s="29">
        <f t="shared" si="0"/>
        <v>63</v>
      </c>
      <c r="D31" s="6">
        <f t="shared" si="1"/>
        <v>7</v>
      </c>
      <c r="E31" s="76">
        <v>9</v>
      </c>
      <c r="F31" s="29">
        <f t="shared" si="2"/>
        <v>15</v>
      </c>
      <c r="G31" s="6">
        <f t="shared" si="3"/>
        <v>-2.5</v>
      </c>
      <c r="H31" s="76">
        <v>-6</v>
      </c>
    </row>
    <row r="32" spans="1:8">
      <c r="A32" s="18" t="s">
        <v>103</v>
      </c>
      <c r="B32" s="75">
        <f>SUM(B25:B31)</f>
        <v>-6444</v>
      </c>
      <c r="C32" s="30">
        <f t="shared" si="0"/>
        <v>-6666</v>
      </c>
      <c r="D32" s="7">
        <f t="shared" si="1"/>
        <v>-30.027027027027028</v>
      </c>
      <c r="E32" s="75">
        <f>SUM(E25:E31)</f>
        <v>222</v>
      </c>
      <c r="F32" s="30">
        <f t="shared" si="2"/>
        <v>3308</v>
      </c>
      <c r="G32" s="7">
        <f t="shared" si="3"/>
        <v>-1.0719377835385613</v>
      </c>
      <c r="H32" s="75">
        <f>SUM(H25:H31)</f>
        <v>-3086</v>
      </c>
    </row>
    <row r="33" spans="1:8">
      <c r="A33" s="1" t="s">
        <v>104</v>
      </c>
      <c r="B33" s="76"/>
      <c r="C33" s="29"/>
      <c r="D33" s="6"/>
      <c r="E33" s="76"/>
      <c r="F33" s="29"/>
      <c r="G33" s="6"/>
      <c r="H33" s="76"/>
    </row>
    <row r="34" spans="1:8">
      <c r="A34" t="s">
        <v>105</v>
      </c>
      <c r="B34" s="76">
        <v>-316</v>
      </c>
      <c r="C34" s="29">
        <f t="shared" si="0"/>
        <v>-32</v>
      </c>
      <c r="D34" s="6">
        <f t="shared" si="1"/>
        <v>0.11267605633802817</v>
      </c>
      <c r="E34" s="76">
        <v>-284</v>
      </c>
      <c r="F34" s="29">
        <f t="shared" si="2"/>
        <v>-862</v>
      </c>
      <c r="G34" s="6">
        <f t="shared" si="3"/>
        <v>-1.4913494809688581</v>
      </c>
      <c r="H34" s="76">
        <v>578</v>
      </c>
    </row>
    <row r="35" spans="1:8">
      <c r="A35" t="s">
        <v>106</v>
      </c>
      <c r="B35" s="76">
        <v>-2716</v>
      </c>
      <c r="C35" s="29">
        <f t="shared" si="0"/>
        <v>-1682</v>
      </c>
      <c r="D35" s="6">
        <f t="shared" si="1"/>
        <v>1.6266924564796905</v>
      </c>
      <c r="E35" s="76">
        <v>-1034</v>
      </c>
      <c r="F35" s="29">
        <f t="shared" si="2"/>
        <v>-72</v>
      </c>
      <c r="G35" s="6">
        <f t="shared" si="3"/>
        <v>7.4844074844074848E-2</v>
      </c>
      <c r="H35" s="76">
        <v>-962</v>
      </c>
    </row>
    <row r="36" spans="1:8">
      <c r="A36" t="s">
        <v>107</v>
      </c>
      <c r="B36" s="76">
        <v>6281</v>
      </c>
      <c r="C36" s="29">
        <f t="shared" si="0"/>
        <v>4030</v>
      </c>
      <c r="D36" s="6">
        <f t="shared" si="1"/>
        <v>1.7903154153709462</v>
      </c>
      <c r="E36" s="76">
        <v>2251</v>
      </c>
      <c r="F36" s="29">
        <f t="shared" si="2"/>
        <v>264</v>
      </c>
      <c r="G36" s="6">
        <f t="shared" si="3"/>
        <v>0.13286361348766984</v>
      </c>
      <c r="H36" s="76">
        <v>1987</v>
      </c>
    </row>
    <row r="37" spans="1:8">
      <c r="A37" t="s">
        <v>108</v>
      </c>
      <c r="B37" s="76">
        <v>-1407</v>
      </c>
      <c r="C37" s="29">
        <f t="shared" si="0"/>
        <v>3463</v>
      </c>
      <c r="D37" s="6">
        <f t="shared" si="1"/>
        <v>-0.71108829568788501</v>
      </c>
      <c r="E37" s="76">
        <v>-4870</v>
      </c>
      <c r="F37" s="29">
        <f t="shared" si="2"/>
        <v>-2802</v>
      </c>
      <c r="G37" s="6">
        <f t="shared" si="3"/>
        <v>1.3549323017408124</v>
      </c>
      <c r="H37" s="76">
        <v>-2068</v>
      </c>
    </row>
    <row r="38" spans="1:8">
      <c r="A38" t="s">
        <v>109</v>
      </c>
      <c r="B38" s="76">
        <v>547</v>
      </c>
      <c r="C38" s="29">
        <f t="shared" si="0"/>
        <v>62</v>
      </c>
      <c r="D38" s="6">
        <f t="shared" si="1"/>
        <v>0.12783505154639174</v>
      </c>
      <c r="E38" s="76">
        <v>485</v>
      </c>
      <c r="F38" s="29">
        <f t="shared" si="2"/>
        <v>-249</v>
      </c>
      <c r="G38" s="6">
        <f t="shared" si="3"/>
        <v>-0.33923705722070846</v>
      </c>
      <c r="H38" s="76">
        <v>734</v>
      </c>
    </row>
    <row r="39" spans="1:8">
      <c r="A39" t="s">
        <v>110</v>
      </c>
      <c r="B39" s="76">
        <v>-3316</v>
      </c>
      <c r="C39" s="29">
        <f t="shared" si="0"/>
        <v>-123</v>
      </c>
      <c r="D39" s="6">
        <f t="shared" si="1"/>
        <v>3.852176636392108E-2</v>
      </c>
      <c r="E39" s="76">
        <v>-3193</v>
      </c>
      <c r="F39" s="29">
        <f t="shared" si="2"/>
        <v>-390</v>
      </c>
      <c r="G39" s="6">
        <f t="shared" si="3"/>
        <v>0.13913663931501963</v>
      </c>
      <c r="H39" s="76">
        <v>-2803</v>
      </c>
    </row>
    <row r="40" spans="1:8">
      <c r="A40" t="s">
        <v>94</v>
      </c>
      <c r="B40" s="76">
        <v>-197</v>
      </c>
      <c r="C40" s="29">
        <f t="shared" si="0"/>
        <v>-141</v>
      </c>
      <c r="D40" s="6">
        <f t="shared" si="1"/>
        <v>2.5178571428571428</v>
      </c>
      <c r="E40" s="76">
        <v>-56</v>
      </c>
      <c r="F40" s="29">
        <f t="shared" si="2"/>
        <v>65</v>
      </c>
      <c r="G40" s="6">
        <f t="shared" si="3"/>
        <v>-0.53719008264462809</v>
      </c>
      <c r="H40" s="76">
        <v>-121</v>
      </c>
    </row>
    <row r="41" spans="1:8">
      <c r="A41" t="s">
        <v>111</v>
      </c>
      <c r="B41" s="75">
        <f>SUM(B34:B40)</f>
        <v>-1124</v>
      </c>
      <c r="C41" s="30">
        <f t="shared" si="0"/>
        <v>5577</v>
      </c>
      <c r="D41" s="7">
        <f t="shared" si="1"/>
        <v>-0.83226384121772867</v>
      </c>
      <c r="E41" s="75">
        <f>SUM(E34:E40)</f>
        <v>-6701</v>
      </c>
      <c r="F41" s="30">
        <f t="shared" si="2"/>
        <v>-4046</v>
      </c>
      <c r="G41" s="7">
        <f t="shared" si="3"/>
        <v>1.5239171374764595</v>
      </c>
      <c r="H41" s="75">
        <f>SUM(H34:H40)</f>
        <v>-2655</v>
      </c>
    </row>
    <row r="42" spans="1:8">
      <c r="A42" t="s">
        <v>112</v>
      </c>
      <c r="B42" s="76">
        <v>-2</v>
      </c>
      <c r="C42" s="29">
        <f t="shared" si="0"/>
        <v>158</v>
      </c>
      <c r="D42" s="6">
        <f t="shared" si="1"/>
        <v>-0.98750000000000004</v>
      </c>
      <c r="E42" s="76">
        <v>-160</v>
      </c>
      <c r="F42" s="29">
        <f t="shared" si="2"/>
        <v>-316</v>
      </c>
      <c r="G42" s="6">
        <f t="shared" si="3"/>
        <v>-2.0256410256410255</v>
      </c>
      <c r="H42" s="76">
        <v>156</v>
      </c>
    </row>
    <row r="43" spans="1:8">
      <c r="A43" t="s">
        <v>113</v>
      </c>
      <c r="B43" s="75">
        <v>-500</v>
      </c>
      <c r="C43" s="30">
        <f t="shared" si="0"/>
        <v>-300</v>
      </c>
      <c r="D43" s="7">
        <f t="shared" si="1"/>
        <v>1.5</v>
      </c>
      <c r="E43" s="75">
        <v>-200</v>
      </c>
      <c r="F43" s="30">
        <f t="shared" si="2"/>
        <v>-855</v>
      </c>
      <c r="G43" s="7">
        <f t="shared" si="3"/>
        <v>-1.3053435114503817</v>
      </c>
      <c r="H43" s="75">
        <v>655</v>
      </c>
    </row>
    <row r="44" spans="1:8">
      <c r="A44" t="s">
        <v>114</v>
      </c>
      <c r="B44" s="76">
        <v>2853</v>
      </c>
      <c r="C44" s="29">
        <f t="shared" si="0"/>
        <v>-200</v>
      </c>
      <c r="D44" s="6">
        <f t="shared" si="1"/>
        <v>-6.5509335080248934E-2</v>
      </c>
      <c r="E44" s="76">
        <v>3053</v>
      </c>
      <c r="F44" s="29">
        <f t="shared" si="2"/>
        <v>655</v>
      </c>
      <c r="G44" s="6">
        <f t="shared" si="3"/>
        <v>0.27314428690575482</v>
      </c>
      <c r="H44" s="76">
        <v>2398</v>
      </c>
    </row>
    <row r="45" spans="1:8" ht="17.100000000000001" thickBot="1">
      <c r="A45" t="s">
        <v>115</v>
      </c>
      <c r="B45" s="20">
        <f>SUM(B43:B44)</f>
        <v>2353</v>
      </c>
      <c r="C45" s="31">
        <f t="shared" si="0"/>
        <v>-500</v>
      </c>
      <c r="D45" s="8">
        <f t="shared" si="1"/>
        <v>-0.1752541184717841</v>
      </c>
      <c r="E45" s="20">
        <f>SUM(E43:E44)</f>
        <v>2853</v>
      </c>
      <c r="F45" s="31">
        <f>E45-H45</f>
        <v>-200</v>
      </c>
      <c r="G45" s="8">
        <f t="shared" si="3"/>
        <v>-6.5509335080248934E-2</v>
      </c>
      <c r="H45" s="20">
        <f>SUM(H43:H44)</f>
        <v>3053</v>
      </c>
    </row>
    <row r="46" spans="1:8" ht="17.100000000000001" thickTop="1"/>
  </sheetData>
  <mergeCells count="5">
    <mergeCell ref="B5:H5"/>
    <mergeCell ref="A1:H1"/>
    <mergeCell ref="A2:H2"/>
    <mergeCell ref="A3:H3"/>
    <mergeCell ref="A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2D5EE-1126-422B-A749-F1B85CD1DE0C}">
  <dimension ref="A1:P27"/>
  <sheetViews>
    <sheetView workbookViewId="0">
      <pane xSplit="1" topLeftCell="B1" activePane="topRight" state="frozen"/>
      <selection pane="topRight" activeCell="H8" sqref="H8"/>
    </sheetView>
  </sheetViews>
  <sheetFormatPr defaultColWidth="11" defaultRowHeight="15.95"/>
  <cols>
    <col min="1" max="1" width="40.375" customWidth="1"/>
    <col min="2" max="2" width="21.375" customWidth="1"/>
    <col min="3" max="3" width="23.375" customWidth="1"/>
    <col min="4" max="4" width="24.375" customWidth="1"/>
    <col min="5" max="5" width="11.875" customWidth="1"/>
    <col min="6" max="8" width="30.5" customWidth="1"/>
    <col min="10" max="10" width="19.125" customWidth="1"/>
    <col min="11" max="11" width="20.125" customWidth="1"/>
    <col min="12" max="12" width="20.5" customWidth="1"/>
    <col min="14" max="14" width="26.625" customWidth="1"/>
    <col min="15" max="15" width="24.5" customWidth="1"/>
    <col min="16" max="16" width="21" customWidth="1"/>
  </cols>
  <sheetData>
    <row r="1" spans="1:16">
      <c r="A1" s="44"/>
      <c r="B1" s="145" t="s">
        <v>116</v>
      </c>
      <c r="C1" s="145"/>
      <c r="D1" s="145"/>
      <c r="E1" s="129"/>
      <c r="F1" s="145" t="s">
        <v>117</v>
      </c>
      <c r="G1" s="145"/>
      <c r="H1" s="145"/>
      <c r="J1" s="147" t="s">
        <v>118</v>
      </c>
      <c r="K1" s="147"/>
      <c r="L1" s="147"/>
      <c r="N1" s="145" t="s">
        <v>119</v>
      </c>
      <c r="O1" s="145"/>
      <c r="P1" s="145"/>
    </row>
    <row r="2" spans="1:16">
      <c r="A2" s="42" t="s">
        <v>120</v>
      </c>
      <c r="B2" s="43">
        <v>2019</v>
      </c>
      <c r="C2" s="43">
        <v>2018</v>
      </c>
      <c r="D2" s="43">
        <v>2017</v>
      </c>
      <c r="E2" s="130"/>
      <c r="F2" s="43">
        <v>2021</v>
      </c>
      <c r="G2" s="43">
        <v>2022</v>
      </c>
      <c r="H2" s="43">
        <v>2023</v>
      </c>
      <c r="J2" s="45">
        <v>2019</v>
      </c>
      <c r="K2" s="45">
        <v>2018</v>
      </c>
      <c r="L2" s="45">
        <v>2017</v>
      </c>
      <c r="N2" s="43">
        <v>2021</v>
      </c>
      <c r="O2" s="43">
        <v>2022</v>
      </c>
      <c r="P2" s="43">
        <v>2023</v>
      </c>
    </row>
    <row r="3" spans="1:16" ht="15.95" customHeight="1">
      <c r="A3" s="10" t="s">
        <v>121</v>
      </c>
      <c r="B3" s="37">
        <f>'Historical Balance Sheet'!B17/'Historical Balance Sheet'!B33</f>
        <v>1.4065278681414011</v>
      </c>
      <c r="C3" s="37">
        <f>'Historical Balance Sheet'!E17/'Historical Balance Sheet'!E33</f>
        <v>1.8924627277747101</v>
      </c>
      <c r="D3" s="37">
        <f>'Historical Balance Sheet'!H17/'Historical Balance Sheet'!H33</f>
        <v>1.8572915311564979</v>
      </c>
      <c r="F3" s="37">
        <f>'Proforma Balance Sheet'!D17/'Proforma Balance Sheet'!D33</f>
        <v>1.8816067841871318</v>
      </c>
      <c r="G3" s="37">
        <f>'Proforma Balance Sheet'!G17/'Proforma Balance Sheet'!G33</f>
        <v>2.2609743130059714</v>
      </c>
      <c r="H3" s="37">
        <f>'Proforma Balance Sheet'!J17/'Proforma Balance Sheet'!J33</f>
        <v>2.5155694467738123</v>
      </c>
      <c r="J3" s="37">
        <f>'Competitor Balance Sheet'!B12/'Competitor Balance Sheet'!B26</f>
        <v>1.3428555641507349</v>
      </c>
      <c r="K3" s="37">
        <f>'Competitor Balance Sheet'!E12/'Competitor Balance Sheet'!E26</f>
        <v>1.2873599661805115</v>
      </c>
      <c r="L3" s="37">
        <f>'Competitor Balance Sheet'!H12/'Competitor Balance Sheet'!H26</f>
        <v>1.3786119505858649</v>
      </c>
      <c r="N3" s="37">
        <f>'Proforma Balance Sheet'!E17/'Proforma Balance Sheet'!E33</f>
        <v>1.8735341410086672</v>
      </c>
      <c r="O3" s="37">
        <f>'Proforma Balance Sheet'!H17/'Proforma Balance Sheet'!H33</f>
        <v>2.2552487245923474</v>
      </c>
      <c r="P3" s="37">
        <f>'Proforma Balance Sheet'!K17/'Proforma Balance Sheet'!K33</f>
        <v>2.5071313149687651</v>
      </c>
    </row>
    <row r="4" spans="1:16">
      <c r="A4" t="s">
        <v>122</v>
      </c>
      <c r="B4" s="37">
        <f>('Historical Balance Sheet'!B17-'Historical Balance Sheet'!B14-'Historical Balance Sheet'!B15)/'Historical Balance Sheet'!B33</f>
        <v>0.88191281717631753</v>
      </c>
      <c r="C4" s="37">
        <f>('Historical Balance Sheet'!E17-'Historical Balance Sheet'!E15-'Historical Balance Sheet'!E14)/'Historical Balance Sheet'!E33</f>
        <v>1.1874654886802871</v>
      </c>
      <c r="D4" s="37">
        <f>('Historical Balance Sheet'!H17-'Historical Balance Sheet'!H14-'Historical Balance Sheet'!H15)/'Historical Balance Sheet'!H33</f>
        <v>1.2106153245739559</v>
      </c>
      <c r="F4" s="37">
        <f>('Proforma Balance Sheet'!D17-'Proforma Balance Sheet'!D14-'Proforma Balance Sheet'!D15)/'Proforma Balance Sheet'!D33</f>
        <v>1.3089180967350202</v>
      </c>
      <c r="G4" s="37">
        <f>('Proforma Balance Sheet'!G17-'Proforma Balance Sheet'!G14-'Proforma Balance Sheet'!G15)/'Proforma Balance Sheet'!G33</f>
        <v>1.6627904113614091</v>
      </c>
      <c r="H4" s="37">
        <f>('Proforma Balance Sheet'!J17-'Proforma Balance Sheet'!J14-'Proforma Balance Sheet'!J15)/'Proforma Balance Sheet'!J33</f>
        <v>1.8915621129119897</v>
      </c>
      <c r="J4" s="37">
        <f>('Competitor Balance Sheet'!B12-'Competitor Balance Sheet'!B10)/'Competitor Balance Sheet'!B26</f>
        <v>1.0985744281136036</v>
      </c>
      <c r="K4" s="37">
        <f>('Competitor Balance Sheet'!E12-'Competitor Balance Sheet'!E10)/'Competitor Balance Sheet'!E26</f>
        <v>1.0587613612344113</v>
      </c>
      <c r="L4" s="37">
        <f>('Competitor Balance Sheet'!H12-'Competitor Balance Sheet'!H10)/'Competitor Balance Sheet'!H26</f>
        <v>1.1340331901807963</v>
      </c>
      <c r="N4" s="37">
        <f>('Proforma Balance Sheet'!E17-'Proforma Balance Sheet'!E15-'Proforma Balance Sheet'!E14)/'Proforma Balance Sheet'!E33</f>
        <v>1.3016126834918491</v>
      </c>
      <c r="O4" s="37">
        <f>('Proforma Balance Sheet'!H17-'Proforma Balance Sheet'!G15-'Proforma Balance Sheet'!H14)/'Proforma Balance Sheet'!H33</f>
        <v>1.6528777445542038</v>
      </c>
      <c r="P4" s="37">
        <f>('Proforma Balance Sheet'!K17-'Proforma Balance Sheet'!K15-'Proforma Balance Sheet'!K14)/'Proforma Balance Sheet'!K33</f>
        <v>1.8707566986180655</v>
      </c>
    </row>
    <row r="5" spans="1:16">
      <c r="A5" t="s">
        <v>123</v>
      </c>
      <c r="B5" s="37">
        <f>'Historical Income Statement'!B10/(('Historical Balance Sheet'!B14+'Historical Balance Sheet'!E14)/2)</f>
        <v>4.032</v>
      </c>
      <c r="C5" s="37">
        <f>'Historical Income Statement'!E10/(('Historical Balance Sheet'!E14+'Historical Balance Sheet'!H14)/2)</f>
        <v>3.9719047619047618</v>
      </c>
      <c r="D5" s="37">
        <f>'Historical Income Statement'!H10/(('Historical Balance Sheet'!H14+3385)/2)</f>
        <v>4.3280765601833133</v>
      </c>
      <c r="F5" s="37">
        <f>'Proforma Income Statement '!D9/(('Proforma Balance Sheet'!D14+'Proforma Balance Sheet'!B14)/2)</f>
        <v>4.1451378809869395</v>
      </c>
      <c r="G5" s="37">
        <f>'Proforma Income Statement '!J9/(('Proforma Balance Sheet'!G14+'Proforma Balance Sheet'!D14)/2)</f>
        <v>4.0847717953414966</v>
      </c>
      <c r="H5" s="37">
        <f>'Proforma Income Statement '!N9/(('Proforma Balance Sheet'!J14+'Proforma Balance Sheet'!G14)/2)</f>
        <v>4.0252848274481732</v>
      </c>
      <c r="J5" s="37">
        <f>'Competitor Income Statement'!B10/'Competitor Balance Sheet'!B10</f>
        <v>5.5053155394707076</v>
      </c>
      <c r="K5" s="37">
        <f>'Competitor Income Statement'!E10/'Competitor Balance Sheet'!E10</f>
        <v>6.7142857142857144</v>
      </c>
      <c r="L5" s="37">
        <f>'Competitor Income Statement'!H10/'Competitor Balance Sheet'!H10</f>
        <v>6.101018859744201</v>
      </c>
      <c r="N5" s="37">
        <f>'Proforma Income Statement '!F9/'Proforma Balance Sheet'!E14</f>
        <v>4.0973673345520698</v>
      </c>
      <c r="O5" s="37">
        <f>'Proforma Income Statement '!L9/'Proforma Balance Sheet'!H14</f>
        <v>4.0257655211208183</v>
      </c>
      <c r="P5" s="37">
        <f>'Proforma Income Statement '!P9/'Proforma Balance Sheet'!K14</f>
        <v>3.9693147484337752</v>
      </c>
    </row>
    <row r="6" spans="1:16">
      <c r="A6" t="s">
        <v>124</v>
      </c>
      <c r="B6" s="35">
        <f>('Historical Balance Sheet'!B14/'Historical Income Statement'!B10)*365</f>
        <v>88.054971988795515</v>
      </c>
      <c r="C6" s="35">
        <f>('Historical Balance Sheet'!E14/'Historical Income Statement'!E10)*365</f>
        <v>95.527514686488445</v>
      </c>
      <c r="D6" s="35">
        <f>('Historical Balance Sheet'!H14/'Historical Income Statement'!H10)*365</f>
        <v>91.710370601058855</v>
      </c>
      <c r="F6" s="35">
        <f>('Proforma Balance Sheet'!D14/'Proforma Income Statement '!D9)*365</f>
        <v>89.356276993556023</v>
      </c>
      <c r="G6" s="35">
        <f>('Proforma Balance Sheet'!G14/'Proforma Income Statement '!J9)*365</f>
        <v>90.676813106761315</v>
      </c>
      <c r="H6" s="35">
        <f>('Proforma Balance Sheet'!J14/'Proforma Income Statement '!N9)*365</f>
        <v>92.016864531984396</v>
      </c>
      <c r="J6" s="35">
        <f>('Competitor Balance Sheet'!B10/'Competitor Income Statement'!B10)*365</f>
        <v>66.299560376350712</v>
      </c>
      <c r="K6" s="35">
        <f>('Competitor Balance Sheet'!E10/'Competitor Income Statement'!E10)*365</f>
        <v>54.361702127659569</v>
      </c>
      <c r="L6" s="35">
        <f>('Competitor Balance Sheet'!H10/'Competitor Income Statement'!H10)*365</f>
        <v>59.826073052870946</v>
      </c>
      <c r="N6" s="35">
        <f>('Proforma Balance Sheet'!E14/'Proforma Income Statement '!F9)*365</f>
        <v>89.081590738044554</v>
      </c>
      <c r="O6" s="35">
        <f>('Proforma Balance Sheet'!H14/'Proforma Income Statement '!L9)*365</f>
        <v>90.665985906297877</v>
      </c>
      <c r="P6" s="35">
        <f>('Proforma Balance Sheet'!K14/'Proforma Income Statement '!P9)*365</f>
        <v>91.955418789609183</v>
      </c>
    </row>
    <row r="7" spans="1:16">
      <c r="A7" t="s">
        <v>125</v>
      </c>
      <c r="B7" s="37">
        <f>'Historical Income Statement'!B8/(('Historical Balance Sheet'!B25+'Historical Balance Sheet'!E25)/2)</f>
        <v>0.79192695819317638</v>
      </c>
      <c r="C7" s="37">
        <f>'Historical Income Statement'!E8/(('Historical Balance Sheet'!E25+'Historical Balance Sheet'!H25)/2)</f>
        <v>0.87975082900371882</v>
      </c>
      <c r="D7" s="37">
        <f>'Historical Income Statement'!H8/(('Historical Balance Sheet'!H25+32906)/2)</f>
        <v>0.89309240686668645</v>
      </c>
      <c r="F7" s="37">
        <f>'Proforma Income Statement '!D7/(('Proforma Balance Sheet'!B25+'Proforma Balance Sheet'!D25)/2)</f>
        <v>0.70882895246237732</v>
      </c>
      <c r="G7" s="37">
        <f>'Proforma Income Statement '!J7/(('Proforma Balance Sheet'!G25+'Proforma Balance Sheet'!D25)/2)</f>
        <v>0.69060029495261677</v>
      </c>
      <c r="H7" s="37">
        <f>'Proforma Income Statement '!N7/(('Proforma Balance Sheet'!J25+'Proforma Balance Sheet'!G25)/2)</f>
        <v>0.67448693965659501</v>
      </c>
      <c r="J7" s="37">
        <f>'Competitor Income Statement'!B8/'Competitor Balance Sheet'!B20</f>
        <v>0.62559007481381756</v>
      </c>
      <c r="K7" s="37">
        <f>'Competitor Income Statement'!E8/'Competitor Balance Sheet'!E20</f>
        <v>0.72355598636041052</v>
      </c>
      <c r="L7" s="37">
        <f>'Competitor Income Statement'!H8/'Competitor Balance Sheet'!H20</f>
        <v>0.68158735496889189</v>
      </c>
      <c r="N7" s="37">
        <f>'Proforma Income Statement '!F7/'Proforma Balance Sheet'!E25</f>
        <v>0.70054947571742954</v>
      </c>
      <c r="O7" s="37">
        <f>'Proforma Income Statement '!L7/'Proforma Balance Sheet'!H25</f>
        <v>0.67898101924017307</v>
      </c>
      <c r="P7" s="37">
        <f>'Proforma Income Statement '!P7/'Proforma Balance Sheet'!K25</f>
        <v>0.67654827908186022</v>
      </c>
    </row>
    <row r="8" spans="1:16">
      <c r="A8" t="s">
        <v>126</v>
      </c>
      <c r="B8" s="37">
        <f>'Historical Income Statement'!B8/'Historical Balance Sheet'!B20</f>
        <v>3.4432658309225328</v>
      </c>
      <c r="C8" s="37">
        <f>'Historical Income Statement'!E8/'Historical Balance Sheet'!E20</f>
        <v>3.7497138933394369</v>
      </c>
      <c r="D8" s="37">
        <f>'Historical Income Statement'!H8/'Historical Balance Sheet'!H20</f>
        <v>3.5706068125422963</v>
      </c>
      <c r="F8" s="37">
        <f>'Proforma Income Statement '!D7/'Proforma Balance Sheet'!D20</f>
        <v>3.8253811630094159</v>
      </c>
      <c r="G8" s="37">
        <f>'Proforma Income Statement '!J7/'Proforma Balance Sheet'!G20</f>
        <v>4.0461026546610421</v>
      </c>
      <c r="H8" s="37">
        <f>'Proforma Income Statement '!N7/'Proforma Balance Sheet'!J20</f>
        <v>4.2909154737826372</v>
      </c>
      <c r="J8" s="37">
        <f>'Competitor Income Statement'!B8/SUM('Competitor Balance Sheet'!B13:B19)</f>
        <v>1.0678671165929718</v>
      </c>
      <c r="K8" s="37">
        <f>'Competitor Income Statement'!E8/SUM('Competitor Balance Sheet'!E13:E19)</f>
        <v>1.2511448325401813</v>
      </c>
      <c r="L8" s="37">
        <f>'Competitor Income Statement'!H8/SUM('Competitor Balance Sheet'!H13:H19)</f>
        <v>1.2111270467312059</v>
      </c>
      <c r="N8" s="37">
        <f>'Proforma Income Statement '!F7/'Proforma Balance Sheet'!E20</f>
        <v>3.8186585068164618</v>
      </c>
      <c r="O8" s="37">
        <f>'Proforma Income Statement '!L7/'Proforma Balance Sheet'!H20</f>
        <v>4.0188565479356768</v>
      </c>
      <c r="P8" s="37">
        <f>'Proforma Income Statement '!P7/'Proforma Balance Sheet'!K20</f>
        <v>4.2062795860309237</v>
      </c>
    </row>
    <row r="9" spans="1:16">
      <c r="A9" t="s">
        <v>127</v>
      </c>
      <c r="B9" s="37">
        <f>'Historical Income Statement'!B8/(('Historical Balance Sheet'!B9+'Historical Balance Sheet'!E9)/2)</f>
        <v>6.5510141677708695</v>
      </c>
      <c r="C9" s="37">
        <f>'Historical Income Statement'!E8/(('Historical Balance Sheet'!E9+'Historical Balance Sheet'!H9)/2)</f>
        <v>6.5985298560064445</v>
      </c>
      <c r="D9" s="37">
        <f>'Historical Income Statement'!H8/(('Historical Balance Sheet'!H9+4392)/2)</f>
        <v>6.8057615822852844</v>
      </c>
      <c r="F9" s="37">
        <f>'Proforma Income Statement '!D7/(('Proforma Balance Sheet'!D9+'Proforma Balance Sheet'!B9)/2)</f>
        <v>6.7077394799776862</v>
      </c>
      <c r="G9" s="37">
        <f>'Proforma Income Statement '!J7/(('Proforma Balance Sheet'!D9+'Proforma Balance Sheet'!G9)/2)</f>
        <v>6.6748584040954411</v>
      </c>
      <c r="H9" s="37">
        <f>'Proforma Income Statement '!N7/(('Proforma Balance Sheet'!J9+'Proforma Balance Sheet'!G9)/2)</f>
        <v>6.642138509957717</v>
      </c>
      <c r="J9" s="37">
        <f>'Competitor Income Statement'!B8/(('Competitor Balance Sheet'!B9+'Competitor Balance Sheet'!E9)/2)</f>
        <v>4.8942070528631421</v>
      </c>
      <c r="K9" s="37">
        <f>'Competitor Income Statement'!E8/(('Competitor Balance Sheet'!E9+'Competitor Balance Sheet'!H9)/2)</f>
        <v>5.1058995969219492</v>
      </c>
      <c r="L9" s="37">
        <f>'Competitor Income Statement'!H8/(('Competitor Balance Sheet'!H9+8818)/2)</f>
        <v>4.5842569554399457</v>
      </c>
      <c r="N9" s="37">
        <f>'Proforma Income Statement '!F7/(('Proforma Balance Sheet'!E9+'Proforma Balance Sheet'!B9)/2)</f>
        <v>6.724159772728072</v>
      </c>
      <c r="O9" s="37">
        <f>'Proforma Income Statement '!L7/(('Proforma Balance Sheet'!D9+'Proforma Balance Sheet'!H9)/2)</f>
        <v>6.7164940312755332</v>
      </c>
      <c r="P9" s="37">
        <f>'Proforma Income Statement '!P7/(('Proforma Balance Sheet'!G9+'Proforma Balance Sheet'!K9)/2)</f>
        <v>6.7242574661082184</v>
      </c>
    </row>
    <row r="10" spans="1:16">
      <c r="A10" t="s">
        <v>128</v>
      </c>
      <c r="B10" s="35">
        <f>((('Historical Balance Sheet'!B9+'Historical Balance Sheet'!E9)/2)/'Historical Income Statement'!B8)*365</f>
        <v>55.716563978093106</v>
      </c>
      <c r="C10" s="35">
        <f>((('Historical Balance Sheet'!E9+'Historical Balance Sheet'!H9)/2)/'Historical Income Statement'!E8)*365</f>
        <v>55.315351747291317</v>
      </c>
      <c r="D10" s="35">
        <f>((('Historical Balance Sheet'!H9+4932)/2)/'Historical Income Statement'!H8)*365</f>
        <v>56.744085036484819</v>
      </c>
      <c r="E10" s="37"/>
      <c r="F10" s="35">
        <f>((('Proforma Balance Sheet'!B9+'Proforma Balance Sheet'!D9)/2)/'Proforma Income Statement '!D7)*365</f>
        <v>54.414754939351674</v>
      </c>
      <c r="G10" s="35">
        <f>((('Proforma Balance Sheet'!D9+'Proforma Balance Sheet'!G9)/2)/'Proforma Income Statement '!J7)*365</f>
        <v>54.682807919348491</v>
      </c>
      <c r="H10" s="35">
        <f>((('Proforma Balance Sheet'!G9+'Proforma Balance Sheet'!J9)/2)/'Proforma Income Statement '!N7)*365</f>
        <v>54.952181357374847</v>
      </c>
      <c r="J10" s="35">
        <f>((('Competitor Balance Sheet'!B9+'Competitor Balance Sheet'!E9)/2)/'Competitor Income Statement'!B8)*365</f>
        <v>74.577964531858669</v>
      </c>
      <c r="K10" s="35">
        <f>((('Competitor Balance Sheet'!E9+'Competitor Balance Sheet'!H9)/2)/'Competitor Income Statement'!E8)*365</f>
        <v>71.48593368738338</v>
      </c>
      <c r="L10" s="35">
        <f>((('Competitor Balance Sheet'!H9+8818)/2)/'Competitor Income Statement'!H8)*365</f>
        <v>79.620318744757483</v>
      </c>
      <c r="N10" s="35">
        <f>((('Proforma Balance Sheet'!E9+'Proforma Balance Sheet'!B9)/2)/'Proforma Income Statement '!F7)*365</f>
        <v>54.281874960849585</v>
      </c>
      <c r="O10" s="35">
        <f>((('Proforma Balance Sheet'!H9+'Proforma Balance Sheet'!D9)/2)/'Proforma Income Statement '!F7)*365</f>
        <v>55.575500816194655</v>
      </c>
      <c r="P10" s="35">
        <f>((('Proforma Balance Sheet'!K9+'Proforma Balance Sheet'!G9)/2)/'Proforma Income Statement '!P7)*365</f>
        <v>54.281086326584422</v>
      </c>
    </row>
    <row r="11" spans="1:16">
      <c r="J11" s="37"/>
      <c r="K11" s="37"/>
      <c r="L11" s="37"/>
    </row>
    <row r="12" spans="1:16">
      <c r="A12" s="42" t="s">
        <v>129</v>
      </c>
      <c r="J12" s="37"/>
      <c r="K12" s="37"/>
      <c r="L12" s="37"/>
    </row>
    <row r="13" spans="1:16">
      <c r="A13" t="s">
        <v>130</v>
      </c>
      <c r="B13" s="40">
        <f>'Historical Balance Sheet'!B38/'Historical Balance Sheet'!B25</f>
        <v>0.77325958933249739</v>
      </c>
      <c r="C13" s="37">
        <f>'Historical Balance Sheet'!E38/'Historical Balance Sheet'!E25</f>
        <v>0.73019178082191782</v>
      </c>
      <c r="D13" s="37">
        <f>'Historical Balance Sheet'!H38/'Historical Balance Sheet'!H25</f>
        <v>0.69405322873614661</v>
      </c>
      <c r="F13" s="37">
        <f>'Proforma Balance Sheet'!D38/'Proforma Balance Sheet'!D25</f>
        <v>0.7441072158282741</v>
      </c>
      <c r="G13" s="37">
        <f>'Proforma Balance Sheet'!G38/'Proforma Balance Sheet'!G25</f>
        <v>0.71726656007403344</v>
      </c>
      <c r="H13" s="37">
        <f>'Proforma Balance Sheet'!J38/'Proforma Balance Sheet'!J25</f>
        <v>0.7091910552270192</v>
      </c>
      <c r="J13" s="37" cm="1">
        <f t="array" ref="J13">SUM('Competitor Balance Sheet'!B26+'Competitor Balance Sheet'!B27:B32)/'Competitor Balance Sheet'!B20</f>
        <v>2.2233337309770107</v>
      </c>
      <c r="K13" s="37" cm="1">
        <f t="array" ref="K13">SUM('Competitor Balance Sheet'!E26+'Competitor Balance Sheet'!E27:E32)/'Competitor Balance Sheet'!E20</f>
        <v>2.3200283869627683</v>
      </c>
      <c r="L13" s="37" cm="1">
        <f t="array" ref="L13">SUM('Competitor Balance Sheet'!H26+'Competitor Balance Sheet'!H27:H32)/'Competitor Balance Sheet'!H20</f>
        <v>2.3055322011098034</v>
      </c>
      <c r="N13" s="131">
        <f>'Proforma Balance Sheet'!E38/'Proforma Balance Sheet'!E25</f>
        <v>0.74336961213099828</v>
      </c>
      <c r="O13" s="131">
        <f>'Proforma Balance Sheet'!H38/'Proforma Balance Sheet'!H25</f>
        <v>0.71464291288376613</v>
      </c>
      <c r="P13" s="131">
        <f>'Proforma Balance Sheet'!K38/'Proforma Balance Sheet'!K25</f>
        <v>0.70405870165569173</v>
      </c>
    </row>
    <row r="14" spans="1:16">
      <c r="A14" t="s">
        <v>131</v>
      </c>
      <c r="B14" s="37">
        <f>'Historical Balance Sheet'!B38/'Historical Balance Sheet'!B48</f>
        <v>3.4103298439660281</v>
      </c>
      <c r="C14" s="37">
        <f>'Historical Balance Sheet'!E38/'Historical Balance Sheet'!E48</f>
        <v>2.7063363119415111</v>
      </c>
      <c r="D14" s="37">
        <f>'Historical Balance Sheet'!H38/'Historical Balance Sheet'!H48</f>
        <v>2.2685424195491311</v>
      </c>
      <c r="E14" s="5"/>
      <c r="F14" s="37">
        <f>'Proforma Balance Sheet'!D38/'Proforma Balance Sheet'!D46</f>
        <v>2.9231151868582588</v>
      </c>
      <c r="G14" s="37">
        <f>'Proforma Balance Sheet'!G38/'Proforma Balance Sheet'!G48</f>
        <v>2.5368664045415765</v>
      </c>
      <c r="H14" s="37">
        <f>'Proforma Balance Sheet'!J38/'Proforma Balance Sheet'!J46</f>
        <v>2.4490326277927257</v>
      </c>
      <c r="J14" s="37" cm="1">
        <f t="array" ref="J14">SUM('Competitor Balance Sheet'!B26+'Competitor Balance Sheet'!B27:B32)/'Competitor Balance Sheet'!B41</f>
        <v>6.9743932428097937</v>
      </c>
      <c r="K14" s="37" cm="1">
        <f t="array" ref="K14">SUM('Competitor Balance Sheet'!E26+'Competitor Balance Sheet'!E27:E32)/'Competitor Balance Sheet'!E41</f>
        <v>7.301176598758035</v>
      </c>
      <c r="L14" s="37" cm="1">
        <f t="array" ref="L14">SUM('Competitor Balance Sheet'!H26+'Competitor Balance Sheet'!H27:H32)/'Competitor Balance Sheet'!H41</f>
        <v>8.2274227422742268</v>
      </c>
      <c r="N14" s="131">
        <f>'Proforma Balance Sheet'!E38/'Proforma Balance Sheet'!E48</f>
        <v>2.8966930733788003</v>
      </c>
      <c r="O14" s="131">
        <f>'Proforma Balance Sheet'!H38/'Proforma Balance Sheet'!H48</f>
        <v>2.504531610630075</v>
      </c>
      <c r="P14" s="131">
        <f>'Proforma Balance Sheet'!K38/'Proforma Balance Sheet'!K48</f>
        <v>2.379018000103724</v>
      </c>
    </row>
    <row r="15" spans="1:16">
      <c r="A15" t="s">
        <v>132</v>
      </c>
      <c r="B15" s="37">
        <f>'Historical Balance Sheet'!B34/'Historical Balance Sheet'!B46</f>
        <v>1.7408327536519925</v>
      </c>
      <c r="C15" s="37">
        <f>'Historical Balance Sheet'!E34/'Historical Balance Sheet'!E46</f>
        <v>1.3690281747652102</v>
      </c>
      <c r="D15" s="37">
        <f>'Historical Balance Sheet'!H34/'Historical Balance Sheet'!H46</f>
        <v>1.0460953039868546</v>
      </c>
      <c r="F15" s="37">
        <f>'Proforma Balance Sheet'!D34/'Proforma Balance Sheet'!D46</f>
        <v>1.539506793306987</v>
      </c>
      <c r="G15" s="37">
        <f>'Proforma Balance Sheet'!G34/'Proforma Balance Sheet'!G46</f>
        <v>1.3630092355988219</v>
      </c>
      <c r="H15" s="37">
        <f>'Proforma Balance Sheet'!J34/'Proforma Balance Sheet'!J46</f>
        <v>1.3287251585266759</v>
      </c>
      <c r="J15" s="37">
        <f>SUM('Competitor Balance Sheet'!B27:B32)/'Competitor Balance Sheet'!B41</f>
        <v>1.1694108842082753</v>
      </c>
      <c r="K15" s="37">
        <f>SUM('Competitor Balance Sheet'!E27:E32)/'Competitor Balance Sheet'!E41</f>
        <v>1.116189127355921</v>
      </c>
      <c r="L15" s="37">
        <f>SUM('Competitor Balance Sheet'!H27:H32)/'Competitor Balance Sheet'!H41</f>
        <v>1.4367836783678367</v>
      </c>
      <c r="N15" s="131">
        <f>'Proforma Balance Sheet'!E34/'Proforma Balance Sheet'!E46</f>
        <v>1.532799782823048</v>
      </c>
      <c r="O15" s="131">
        <f>'Proforma Balance Sheet'!H34/'Proforma Balance Sheet'!H46</f>
        <v>1.3446679329430091</v>
      </c>
      <c r="P15" s="131">
        <f>'Proforma Balance Sheet'!K34/'Proforma Balance Sheet'!K46</f>
        <v>1.2950118074917765</v>
      </c>
    </row>
    <row r="16" spans="1:16">
      <c r="A16" t="s">
        <v>133</v>
      </c>
      <c r="B16" s="12">
        <f>'Historical Income Statement'!B15/'Historical Income Statement'!B17</f>
        <v>13.363636363636363</v>
      </c>
      <c r="C16" s="37">
        <f>'Historical Income Statement'!E15/'Historical Income Statement'!E17</f>
        <v>34.816425120772948</v>
      </c>
      <c r="D16" s="37">
        <f>'Historical Income Statement'!H15/'Historical Income Statement'!H17</f>
        <v>53.416666666666664</v>
      </c>
      <c r="F16" s="37">
        <f>'Proforma Income Statement '!D14/'Proforma Income Statement '!D16</f>
        <v>8.7112121212121121</v>
      </c>
      <c r="G16" s="37">
        <f>'Proforma Income Statement '!J14/'Proforma Income Statement '!J16</f>
        <v>8.7112121212121121</v>
      </c>
      <c r="H16" s="37">
        <f>'Proforma Income Statement '!N14/'Proforma Income Statement '!N16</f>
        <v>8.7112121212121139</v>
      </c>
      <c r="J16" s="37">
        <f>'Competitor Income Statement'!B14/'Competitor Income Statement'!B15</f>
        <v>3.8563302024077259</v>
      </c>
      <c r="K16" s="37">
        <f>'Competitor Income Statement'!E14/'Competitor Income Statement'!E15</f>
        <v>4.5832776813142777</v>
      </c>
      <c r="L16" s="37">
        <f>'Competitor Income Statement'!H14/'Competitor Income Statement'!H15</f>
        <v>4.8322302158273382</v>
      </c>
      <c r="N16" s="131">
        <f>'Proforma Income Statement '!F14/'Proforma Income Statement '!F18</f>
        <v>5.3702320459428332</v>
      </c>
      <c r="O16" s="131">
        <f>'Proforma Income Statement '!L14/'Proforma Income Statement '!L18</f>
        <v>5.3603298724398636</v>
      </c>
      <c r="P16" s="131">
        <f>'Proforma Income Statement '!P14/'Proforma Income Statement '!P18</f>
        <v>5.3533443763074056</v>
      </c>
    </row>
    <row r="17" spans="1:16">
      <c r="J17" s="37"/>
      <c r="K17" s="37"/>
      <c r="L17" s="37"/>
    </row>
    <row r="18" spans="1:16">
      <c r="A18" s="42" t="s">
        <v>134</v>
      </c>
    </row>
    <row r="19" spans="1:16">
      <c r="A19" t="s">
        <v>135</v>
      </c>
      <c r="B19" s="36">
        <f>('Historical Income Statement'!B8-'Historical Income Statement'!B10)/'Historical Income Statement'!B8</f>
        <v>0.46676624346527257</v>
      </c>
      <c r="C19" s="36">
        <f>('Historical Income Statement'!E8-'Historical Income Statement'!E10)/'Historical Income Statement'!E8</f>
        <v>0.4908591484816115</v>
      </c>
      <c r="D19" s="36">
        <f>('Historical Income Statement'!H8-'Historical Income Statement'!H10)/'Historical Income Statement'!H8</f>
        <v>0.49284518431942381</v>
      </c>
      <c r="F19" s="36">
        <f>('Proforma Income Statement '!D7-'Proforma Income Statement '!D9)/'Proforma Income Statement '!D7</f>
        <v>0.45888594164456215</v>
      </c>
      <c r="G19" s="36">
        <f>('Proforma Income Statement '!J7-'Proforma Income Statement '!J9)/'Proforma Income Statement '!J7</f>
        <v>0.4588859416445622</v>
      </c>
      <c r="H19" s="36">
        <f>('Proforma Income Statement '!N7-'Proforma Income Statement '!N9)/'Proforma Income Statement '!N7</f>
        <v>0.45888594164456226</v>
      </c>
      <c r="J19" s="36">
        <f>('Competitor Income Statement'!B8-'Competitor Income Statement'!B10)/'Competitor Income Statement'!B8</f>
        <v>0.3369745838895094</v>
      </c>
      <c r="K19" s="36">
        <f>('Competitor Income Statement'!E8-'Competitor Income Statement'!E10)/'Competitor Income Statement'!E8</f>
        <v>0.30515286349935411</v>
      </c>
      <c r="L19" s="36">
        <f>('Competitor Income Statement'!H8-'Competitor Income Statement'!H10)/'Competitor Income Statement'!H8</f>
        <v>0.30566931464943009</v>
      </c>
      <c r="N19" s="36">
        <f>('Proforma Income Statement '!F7-'Proforma Income Statement '!F9)/'Proforma Income Statement '!F7</f>
        <v>0.45953235976979628</v>
      </c>
      <c r="O19" s="36">
        <f>('Proforma Income Statement '!L7-'Proforma Income Statement '!L9)/'Proforma Income Statement '!L7</f>
        <v>0.45967309813569573</v>
      </c>
      <c r="P19" s="36">
        <f>('Proforma Income Statement '!P7-'Proforma Income Statement '!P9)/'Proforma Income Statement '!P7</f>
        <v>0.45790634135260094</v>
      </c>
    </row>
    <row r="20" spans="1:16">
      <c r="A20" t="s">
        <v>136</v>
      </c>
      <c r="B20" s="36">
        <f>'Historical Income Statement'!B15/'Historical Income Statement'!B8</f>
        <v>0.19212098581030621</v>
      </c>
      <c r="C20" s="36">
        <f>'Historical Income Statement'!E15/'Historical Income Statement'!E8</f>
        <v>0.21996032351594688</v>
      </c>
      <c r="D20" s="36">
        <f>'Historical Income Statement'!H15/'Historical Income Statement'!H8</f>
        <v>0.24297943582777901</v>
      </c>
      <c r="F20" s="36">
        <f>'Proforma Income Statement '!D14/'Proforma Income Statement '!D7</f>
        <v>0.18507764415029213</v>
      </c>
      <c r="G20" s="36">
        <f>'Proforma Income Statement '!J14/'Proforma Income Statement '!J7</f>
        <v>0.18507764415029213</v>
      </c>
      <c r="H20" s="36">
        <f>'Proforma Income Statement '!N14/'Proforma Income Statement '!N7</f>
        <v>0.18507764415029218</v>
      </c>
      <c r="J20" s="36">
        <f>'Competitor Income Statement'!B15/'Competitor Income Statement'!B8</f>
        <v>0.20591680514315291</v>
      </c>
      <c r="K20" s="36">
        <f>'Competitor Income Statement'!E15/'Competitor Income Statement'!E8</f>
        <v>0.17910626285823644</v>
      </c>
      <c r="L20" s="36">
        <f>'Competitor Income Statement'!H15/'Competitor Income Statement'!H8</f>
        <v>0.17146099570730744</v>
      </c>
      <c r="N20" s="36">
        <f>'Proforma Income Statement '!F14/'Proforma Income Statement '!F7</f>
        <v>0.18663550316687</v>
      </c>
      <c r="O20" s="36">
        <f>'Proforma Income Statement '!L14/'Proforma Income Statement '!L7</f>
        <v>0.1879546619282344</v>
      </c>
      <c r="P20" s="36">
        <f>'Proforma Income Statement '!P14/'Proforma Income Statement '!P7</f>
        <v>0.18767456876494015</v>
      </c>
    </row>
    <row r="21" spans="1:16">
      <c r="A21" t="s">
        <v>137</v>
      </c>
      <c r="B21" s="36">
        <f>'Historical Income Statement'!B22/'Historical Income Statement'!B8</f>
        <v>0.14220811550908638</v>
      </c>
      <c r="C21" s="36">
        <f>'Historical Income Statement'!E22/'Historical Income Statement'!E8</f>
        <v>0.16325347169235466</v>
      </c>
      <c r="D21" s="36">
        <f>'Historical Income Statement'!H22/'Historical Income Statement'!H8</f>
        <v>0.15345737119752345</v>
      </c>
      <c r="F21" s="36">
        <f>'Proforma Income Statement '!D19/'Proforma Income Statement '!D7</f>
        <v>0.12942706857922778</v>
      </c>
      <c r="G21" s="36">
        <f>'Proforma Income Statement '!J19/'Proforma Income Statement '!J7</f>
        <v>0.12942706857922781</v>
      </c>
      <c r="H21" s="36">
        <f>'Proforma Income Statement '!N19/'Proforma Income Statement '!N7</f>
        <v>0.12942706857922784</v>
      </c>
      <c r="I21" s="36"/>
      <c r="J21" s="36">
        <f>'Competitor Income Statement'!B17/'Competitor Income Statement'!B8</f>
        <v>0.16971314936391621</v>
      </c>
      <c r="K21" s="36">
        <f>'Competitor Income Statement'!E17/'Competitor Income Statement'!E8</f>
        <v>0.16334146691545859</v>
      </c>
      <c r="L21" s="36">
        <f>'Competitor Income Statement'!H17/'Competitor Income Statement'!H8</f>
        <v>3.9176987220604927E-2</v>
      </c>
      <c r="M21" s="36"/>
      <c r="N21" s="36">
        <f>'Proforma Income Statement '!F19/'Proforma Income Statement '!F7</f>
        <v>0.1307401583576587</v>
      </c>
      <c r="O21" s="36">
        <f>'Proforma Income Statement '!L19/'Proforma Income Statement '!L7</f>
        <v>0.13190746736789699</v>
      </c>
      <c r="P21" s="36">
        <f>'Proforma Income Statement '!P19/'Proforma Income Statement '!P7</f>
        <v>0.13188276417446557</v>
      </c>
    </row>
    <row r="22" spans="1:16">
      <c r="A22" t="s">
        <v>138</v>
      </c>
      <c r="B22" s="36">
        <f>'Historical Income Statement'!B15/'Historical Balance Sheet'!B25</f>
        <v>0.13824760966434538</v>
      </c>
      <c r="C22" s="36">
        <f>'Historical Income Statement'!E15/'Historical Balance Sheet'!E25</f>
        <v>0.19745205479452055</v>
      </c>
      <c r="D22" s="36">
        <f>'Historical Income Statement'!H15/'Historical Balance Sheet'!H25</f>
        <v>0.20249032563771815</v>
      </c>
      <c r="F22" s="36">
        <f>'Proforma Income Statement '!D14/'Proforma Balance Sheet'!D25</f>
        <v>0.12920820433121197</v>
      </c>
      <c r="G22" s="36">
        <f>'Proforma Income Statement '!J14/'Proforma Balance Sheet'!G25</f>
        <v>0.12464810523629664</v>
      </c>
      <c r="H22" s="36">
        <f>'Proforma Income Statement '!N14/'Proforma Balance Sheet'!J25</f>
        <v>0.12319139297745253</v>
      </c>
      <c r="I22" s="36"/>
      <c r="J22" s="36">
        <f>'Competitor Income Statement'!B15/'Competitor Balance Sheet'!B20</f>
        <v>0.12881950953492732</v>
      </c>
      <c r="K22" s="36">
        <f>'Competitor Income Statement'!E15/'Competitor Balance Sheet'!E20</f>
        <v>0.12959340868571825</v>
      </c>
      <c r="L22" s="36">
        <f>'Competitor Income Statement'!H15/'Competitor Balance Sheet'!H20</f>
        <v>0.1168656465444762</v>
      </c>
      <c r="M22" s="36"/>
      <c r="N22" s="36">
        <f>'Proforma Income Statement '!F14/'Proforma Balance Sheet'!E25</f>
        <v>0.13074740389380946</v>
      </c>
      <c r="O22" s="36">
        <f>'Proforma Income Statement '!L14/'Proforma Balance Sheet'!H25</f>
        <v>0.12761764792697475</v>
      </c>
      <c r="P22" s="36">
        <f>'Proforma Income Statement '!P14/'Proforma Balance Sheet'!K25</f>
        <v>0.12697090652535048</v>
      </c>
    </row>
    <row r="23" spans="1:16">
      <c r="A23" t="s">
        <v>139</v>
      </c>
      <c r="B23" s="36">
        <f>'Historical Income Statement'!B22/'Historical Balance Sheet'!B46</f>
        <v>0.45413892477392426</v>
      </c>
      <c r="C23" s="36">
        <f>'Historical Income Statement'!E22/'Historical Balance Sheet'!E46</f>
        <v>0.54603919967333603</v>
      </c>
      <c r="D23" s="36">
        <f>'Historical Income Statement'!H22/'Historical Balance Sheet'!H46</f>
        <v>0.42013318342990574</v>
      </c>
      <c r="F23" s="36">
        <f>'Proforma Income Statement '!D19/'Proforma Balance Sheet'!D46</f>
        <v>0.35495365809104651</v>
      </c>
      <c r="G23" s="36">
        <f>'Proforma Income Statement '!J19/'Proforma Balance Sheet'!G46</f>
        <v>0.30968321199618865</v>
      </c>
      <c r="H23" s="36">
        <f>'Proforma Income Statement '!N19/'Proforma Balance Sheet'!J46</f>
        <v>0.29749717077942056</v>
      </c>
      <c r="J23" s="36">
        <f>'Competitor Income Statement'!B17/'Competitor Balance Sheet'!B39</f>
        <v>0.33686601059803178</v>
      </c>
      <c r="K23" s="36">
        <f>'Competitor Income Statement'!E17/'Competitor Balance Sheet'!E39</f>
        <v>0.37557755775577556</v>
      </c>
      <c r="L23" s="36">
        <f>'Competitor Income Statement'!H17/'Competitor Balance Sheet'!H39</f>
        <v>9.6230759907889957E-2</v>
      </c>
      <c r="N23" s="36">
        <f>'Proforma Income Statement '!F19/'Proforma Balance Sheet'!E46</f>
        <v>0.35875357439027011</v>
      </c>
      <c r="O23" s="36">
        <f>'Proforma Income Statement '!L19/'Proforma Balance Sheet'!H46</f>
        <v>0.31526964591597695</v>
      </c>
      <c r="P23" s="36">
        <f>'Proforma Income Statement '!P19/'Proforma Balance Sheet'!K46</f>
        <v>0.30273947624044645</v>
      </c>
    </row>
    <row r="24" spans="1:16">
      <c r="B24" s="13"/>
      <c r="C24" s="13"/>
      <c r="D24" s="13"/>
    </row>
    <row r="25" spans="1:16">
      <c r="A25" s="42" t="s">
        <v>140</v>
      </c>
    </row>
    <row r="26" spans="1:16" ht="15.75">
      <c r="A26" t="s">
        <v>141</v>
      </c>
      <c r="B26" s="13">
        <f>'Historical Income Statement'!B24</f>
        <v>7.92</v>
      </c>
      <c r="C26" s="13">
        <f>'Historical Income Statement'!E24</f>
        <v>9.09</v>
      </c>
      <c r="D26" s="13">
        <f>'Historical Income Statement'!H24</f>
        <v>8.1300000000000008</v>
      </c>
      <c r="F26" s="65">
        <f>'Proforma Income Statement '!D19/((575.184835+584.184835)/2)</f>
        <v>7.3919169534597104</v>
      </c>
      <c r="G26" s="65">
        <f>'Proforma Income Statement '!J19/((584.184835+593.184835)/2)</f>
        <v>7.3880905933180596</v>
      </c>
      <c r="H26" s="65">
        <f>'Proforma Income Statement '!N19/((593.184835+602.184835)/2)</f>
        <v>7.3859925612315092</v>
      </c>
      <c r="J26" s="13">
        <f>'Competitor Income Statement'!B20</f>
        <v>8.52</v>
      </c>
      <c r="K26" s="13">
        <f>'Competitor Income Statement'!E20</f>
        <v>9.1</v>
      </c>
      <c r="L26" s="13">
        <f>'Competitor Income Statement'!H20</f>
        <v>2.0299999999999998</v>
      </c>
      <c r="N26" s="65">
        <f>'Proforma Income Statement '!F19/((575.184835+584.184835)/2)</f>
        <v>7.5037410604332928</v>
      </c>
      <c r="O26" s="141">
        <f>'Proforma Income Statement '!L19/((584.184835+593.184835)/2)</f>
        <v>7.6239573623337797</v>
      </c>
      <c r="P26" s="141">
        <f>'Proforma Income Statement '!P19/((593.184835+602.184835)/2)</f>
        <v>7.7118133761431018</v>
      </c>
    </row>
    <row r="27" spans="1:16">
      <c r="A27" t="s">
        <v>142</v>
      </c>
      <c r="B27" s="37">
        <f>'Historical Balance Sheet'!B51/'Historical Ratios'!B26</f>
        <v>29.718434343434343</v>
      </c>
      <c r="C27" s="37">
        <f>'Historical Balance Sheet'!E51/'Historical Ratios'!C26</f>
        <v>20.961496149614963</v>
      </c>
      <c r="D27" s="37">
        <f>'Historical Balance Sheet'!H51/'Historical Ratios'!D26</f>
        <v>21.699876998769984</v>
      </c>
      <c r="F27" s="140" t="s">
        <v>143</v>
      </c>
      <c r="G27" s="140" t="s">
        <v>143</v>
      </c>
      <c r="H27" s="140" t="s">
        <v>143</v>
      </c>
      <c r="J27" s="37">
        <f>'Competitor Balance Sheet'!B44/'Historical Ratios'!J26</f>
        <v>20.774647887323944</v>
      </c>
      <c r="K27" s="37">
        <f>'Competitor Balance Sheet'!E44/'Historical Ratios'!K26</f>
        <v>14.51868131868132</v>
      </c>
      <c r="L27" s="37">
        <f>'Competitor Balance Sheet'!H44/'Historical Ratios'!L26</f>
        <v>72.408866995073907</v>
      </c>
      <c r="N27" s="140" t="s">
        <v>143</v>
      </c>
      <c r="O27" s="140" t="s">
        <v>143</v>
      </c>
      <c r="P27" s="140" t="s">
        <v>143</v>
      </c>
    </row>
  </sheetData>
  <mergeCells count="4">
    <mergeCell ref="B1:D1"/>
    <mergeCell ref="J1:L1"/>
    <mergeCell ref="F1:H1"/>
    <mergeCell ref="N1:P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26A62-A75D-414C-A85E-A21090B32949}">
  <dimension ref="A1:R23"/>
  <sheetViews>
    <sheetView workbookViewId="0">
      <pane xSplit="1" topLeftCell="C2" activePane="topRight" state="frozen"/>
      <selection pane="topRight" activeCell="A11" sqref="A11"/>
    </sheetView>
  </sheetViews>
  <sheetFormatPr defaultColWidth="11" defaultRowHeight="15.95" outlineLevelCol="1"/>
  <cols>
    <col min="1" max="1" width="70.125" customWidth="1"/>
    <col min="2" max="3" width="12.125" customWidth="1"/>
    <col min="4" max="4" width="23.125" customWidth="1"/>
    <col min="5" max="5" width="10.875" customWidth="1"/>
    <col min="6" max="6" width="23" customWidth="1"/>
    <col min="7" max="7" width="5.875" hidden="1" customWidth="1" outlineLevel="1"/>
    <col min="8" max="8" width="9.875" customWidth="1" collapsed="1"/>
    <col min="9" max="9" width="6.125" customWidth="1"/>
    <col min="10" max="10" width="21.625" customWidth="1"/>
    <col min="11" max="11" width="10.125" customWidth="1"/>
    <col min="12" max="12" width="22.125" customWidth="1"/>
    <col min="13" max="13" width="7.125" hidden="1" customWidth="1" outlineLevel="1"/>
    <col min="14" max="14" width="19.625" customWidth="1" collapsed="1"/>
    <col min="15" max="15" width="9.625" customWidth="1"/>
    <col min="16" max="16" width="18.375" customWidth="1"/>
    <col min="17" max="17" width="11" hidden="1" customWidth="1" outlineLevel="1"/>
    <col min="18" max="18" width="11" collapsed="1"/>
  </cols>
  <sheetData>
    <row r="1" spans="1:17" ht="15.95" customHeight="1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8"/>
      <c r="O1" s="148"/>
      <c r="P1" s="148"/>
      <c r="Q1" s="148"/>
    </row>
    <row r="2" spans="1:17" ht="15.95" customHeight="1">
      <c r="A2" s="145" t="s">
        <v>144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8"/>
      <c r="O2" s="148"/>
      <c r="P2" s="148"/>
      <c r="Q2" s="148"/>
    </row>
    <row r="3" spans="1:17" ht="15.95" customHeight="1">
      <c r="A3" s="145" t="s">
        <v>145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8"/>
      <c r="O3" s="148"/>
      <c r="P3" s="148"/>
      <c r="Q3" s="148"/>
    </row>
    <row r="4" spans="1:17" ht="15.95" customHeight="1">
      <c r="A4" s="145" t="s">
        <v>3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8"/>
      <c r="O4" s="148"/>
      <c r="P4" s="148"/>
      <c r="Q4" s="148"/>
    </row>
    <row r="5" spans="1:17" ht="15.75">
      <c r="A5" s="1"/>
      <c r="C5" s="93"/>
      <c r="D5" s="149" t="s">
        <v>146</v>
      </c>
      <c r="E5" s="149"/>
      <c r="F5" s="149"/>
      <c r="G5" s="130"/>
      <c r="J5" s="149" t="s">
        <v>147</v>
      </c>
      <c r="K5" s="149"/>
      <c r="L5" s="149"/>
      <c r="O5" s="9" t="s">
        <v>148</v>
      </c>
    </row>
    <row r="6" spans="1:17" ht="15.75">
      <c r="A6" s="1"/>
      <c r="B6" s="116" t="s">
        <v>149</v>
      </c>
      <c r="C6" s="27" t="s">
        <v>150</v>
      </c>
      <c r="D6" s="9" t="s">
        <v>151</v>
      </c>
      <c r="E6" s="9" t="s">
        <v>152</v>
      </c>
      <c r="F6" s="9" t="s">
        <v>153</v>
      </c>
      <c r="G6" s="9"/>
      <c r="H6" s="9" t="s">
        <v>152</v>
      </c>
      <c r="I6" s="9"/>
      <c r="J6" s="9" t="s">
        <v>151</v>
      </c>
      <c r="K6" s="117" t="s">
        <v>152</v>
      </c>
      <c r="L6" s="9" t="s">
        <v>153</v>
      </c>
      <c r="M6" s="9"/>
      <c r="N6" s="9" t="s">
        <v>154</v>
      </c>
      <c r="O6" s="27" t="s">
        <v>152</v>
      </c>
      <c r="P6" s="9" t="s">
        <v>155</v>
      </c>
    </row>
    <row r="7" spans="1:17" ht="15.75">
      <c r="A7" s="4" t="s">
        <v>11</v>
      </c>
      <c r="B7" s="70">
        <f>'Historical Income Statement'!B8*1.015</f>
        <v>32618.039999999997</v>
      </c>
      <c r="C7" s="74">
        <f>B7/B7</f>
        <v>1</v>
      </c>
      <c r="D7" s="90">
        <f>B7*1.015</f>
        <v>33107.310599999997</v>
      </c>
      <c r="E7" s="113">
        <f>D7/D7</f>
        <v>1</v>
      </c>
      <c r="F7" s="104">
        <f>D7+163.3</f>
        <v>33270.6106</v>
      </c>
      <c r="G7" s="11">
        <f>F7-D7</f>
        <v>163.30000000000291</v>
      </c>
      <c r="H7" s="113">
        <f>F7/F7</f>
        <v>1</v>
      </c>
      <c r="J7" s="114">
        <f>D7*1.015</f>
        <v>33603.920258999991</v>
      </c>
      <c r="K7" s="113">
        <f>J7/J7</f>
        <v>1</v>
      </c>
      <c r="L7" s="107">
        <f>J7+420.75</f>
        <v>34024.670258999991</v>
      </c>
      <c r="M7" s="34">
        <f>L7-J7</f>
        <v>420.75</v>
      </c>
      <c r="N7" s="90">
        <f>J7*1.015</f>
        <v>34107.979062884988</v>
      </c>
      <c r="O7" s="36">
        <f>N7/N7</f>
        <v>1</v>
      </c>
      <c r="P7" s="111">
        <f>N7+841.5</f>
        <v>34949.479062884988</v>
      </c>
      <c r="Q7" s="11">
        <f>P7-N7</f>
        <v>841.5</v>
      </c>
    </row>
    <row r="8" spans="1:17" ht="15.75">
      <c r="A8" s="1" t="s">
        <v>12</v>
      </c>
      <c r="B8" s="69"/>
      <c r="C8" s="67"/>
      <c r="D8" s="91"/>
      <c r="E8" s="113"/>
      <c r="F8" s="15"/>
      <c r="G8">
        <f>G7/F7</f>
        <v>4.9082357388416219E-3</v>
      </c>
      <c r="H8" s="113"/>
      <c r="J8" s="115"/>
      <c r="K8" s="113"/>
      <c r="L8" s="107"/>
      <c r="M8" s="36">
        <f>M7/L7</f>
        <v>1.236602726190141E-2</v>
      </c>
      <c r="N8" s="91"/>
      <c r="O8" s="36"/>
      <c r="P8" s="112"/>
      <c r="Q8" s="36">
        <f>Q7/P7</f>
        <v>2.4077612100766355E-2</v>
      </c>
    </row>
    <row r="9" spans="1:17" ht="15.75">
      <c r="A9" t="s">
        <v>13</v>
      </c>
      <c r="B9" s="76">
        <f>'Historical Income Statement'!B10*1.03</f>
        <v>17650.080000000002</v>
      </c>
      <c r="C9" s="36">
        <f>B9/B7</f>
        <v>0.5411140583554378</v>
      </c>
      <c r="D9" s="81">
        <f>D7*C9</f>
        <v>17914.831200000004</v>
      </c>
      <c r="E9" s="127">
        <f>D9/D7</f>
        <v>0.5411140583554378</v>
      </c>
      <c r="F9" s="105">
        <f>D9+66.8572</f>
        <v>17981.688400000003</v>
      </c>
      <c r="G9" s="76">
        <f>F9-D9</f>
        <v>66.857199999998556</v>
      </c>
      <c r="H9" s="127">
        <f>F9/F7</f>
        <v>0.54046764023020377</v>
      </c>
      <c r="J9" s="86">
        <f>J7*E9</f>
        <v>18183.553668</v>
      </c>
      <c r="K9" s="113">
        <f>J9/J7</f>
        <v>0.5411140583554378</v>
      </c>
      <c r="L9" s="108">
        <f>J9+200.891</f>
        <v>18384.444668</v>
      </c>
      <c r="M9" s="76">
        <f>L9-J9</f>
        <v>200.89099999999962</v>
      </c>
      <c r="N9" s="81">
        <f>N7*K9</f>
        <v>18456.306973019997</v>
      </c>
      <c r="O9" s="36">
        <f>N9/N7</f>
        <v>0.5411140583554378</v>
      </c>
      <c r="P9" s="112">
        <f>N9+489.584</f>
        <v>18945.890973019996</v>
      </c>
      <c r="Q9" s="76">
        <f>P9-N9</f>
        <v>489.58399999999892</v>
      </c>
    </row>
    <row r="10" spans="1:17" ht="15.75">
      <c r="A10" t="s">
        <v>14</v>
      </c>
      <c r="B10" s="76">
        <f>'Historical Income Statement'!B11*1.01</f>
        <v>7099.29</v>
      </c>
      <c r="C10" s="36">
        <f>B10/B7</f>
        <v>0.21764919044798525</v>
      </c>
      <c r="D10" s="81">
        <f>D7*C10</f>
        <v>7205.7793500000007</v>
      </c>
      <c r="E10" s="127">
        <f>D10/D7</f>
        <v>0.21764919044798525</v>
      </c>
      <c r="F10" s="105">
        <f>D10+14.3887</f>
        <v>7220.1680500000011</v>
      </c>
      <c r="G10">
        <f>G9/F9</f>
        <v>3.7180713241587783E-3</v>
      </c>
      <c r="H10" s="127">
        <f>F10/F7</f>
        <v>0.21701339169290754</v>
      </c>
      <c r="J10" s="86">
        <f>J7*E10</f>
        <v>7313.8660402499991</v>
      </c>
      <c r="K10" s="113">
        <f>J10/J7</f>
        <v>0.21764919044798525</v>
      </c>
      <c r="L10" s="108">
        <f>J10+44.098</f>
        <v>7357.964040249999</v>
      </c>
      <c r="M10" s="76">
        <f>M9/L9</f>
        <v>1.0927226991504991E-2</v>
      </c>
      <c r="N10" s="81">
        <f>N7*K10</f>
        <v>7423.5740308537479</v>
      </c>
      <c r="O10" s="36">
        <f>N10/N7</f>
        <v>0.21764919044798525</v>
      </c>
      <c r="P10" s="112">
        <f>N10+105.412</f>
        <v>7528.9860308537482</v>
      </c>
      <c r="Q10" s="36">
        <f>Q9/P9</f>
        <v>2.5841170557626126E-2</v>
      </c>
    </row>
    <row r="11" spans="1:17" ht="15.75">
      <c r="A11" t="s">
        <v>15</v>
      </c>
      <c r="B11" s="76">
        <f>'Historical Income Statement'!B12*1.02</f>
        <v>1949.22</v>
      </c>
      <c r="C11" s="36">
        <f>B11/B7</f>
        <v>5.9758955473719455E-2</v>
      </c>
      <c r="D11" s="81">
        <f>D7*C11</f>
        <v>1978.4583</v>
      </c>
      <c r="E11" s="113">
        <f>D11/D7</f>
        <v>5.9758955473719455E-2</v>
      </c>
      <c r="F11" s="105">
        <f>D11</f>
        <v>1978.4583</v>
      </c>
      <c r="G11" s="76">
        <f>F10-D10</f>
        <v>14.388700000000426</v>
      </c>
      <c r="H11" s="113">
        <f>F11/F7</f>
        <v>5.9465644432747503E-2</v>
      </c>
      <c r="J11" s="86">
        <f>J7*E11</f>
        <v>2008.1351744999997</v>
      </c>
      <c r="K11" s="113">
        <f>J11/J7</f>
        <v>5.9758955473719455E-2</v>
      </c>
      <c r="L11" s="108">
        <f>J11</f>
        <v>2008.1351744999997</v>
      </c>
      <c r="M11" s="76">
        <f>L10-J10</f>
        <v>44.097999999999956</v>
      </c>
      <c r="N11" s="81">
        <f>N7*K11</f>
        <v>2038.2572021174994</v>
      </c>
      <c r="O11" s="36">
        <f>N11/N7</f>
        <v>5.9758955473719455E-2</v>
      </c>
      <c r="P11" s="112">
        <f>N11</f>
        <v>2038.2572021174994</v>
      </c>
      <c r="Q11" s="76">
        <f>P10-N10</f>
        <v>105.41200000000026</v>
      </c>
    </row>
    <row r="12" spans="1:17" ht="15.75">
      <c r="A12" t="s">
        <v>16</v>
      </c>
      <c r="B12" s="76">
        <f>'Historical Income Statement'!B13*1.03</f>
        <v>-117.42</v>
      </c>
      <c r="C12" s="36">
        <f>B12/B7</f>
        <v>-3.5998484274346347E-3</v>
      </c>
      <c r="D12" s="81">
        <f>D7*C12</f>
        <v>-119.18130000000001</v>
      </c>
      <c r="E12" s="113">
        <f>D12/D7</f>
        <v>-3.5998484274346347E-3</v>
      </c>
      <c r="F12" s="105">
        <f>D12</f>
        <v>-119.18130000000001</v>
      </c>
      <c r="G12">
        <f>G11/F10</f>
        <v>1.9928483520546898E-3</v>
      </c>
      <c r="H12" s="113">
        <f>F12/F7</f>
        <v>-3.5821795227286876E-3</v>
      </c>
      <c r="J12" s="86">
        <f>J7*E12</f>
        <v>-120.96901949999997</v>
      </c>
      <c r="K12" s="113">
        <f>J12/J7</f>
        <v>-3.5998484274346347E-3</v>
      </c>
      <c r="L12" s="108">
        <f>J12</f>
        <v>-120.96901949999997</v>
      </c>
      <c r="M12" s="76">
        <f>M11/L10</f>
        <v>5.9932339650985373E-3</v>
      </c>
      <c r="N12" s="81">
        <f>N7*K12</f>
        <v>-122.78355479249997</v>
      </c>
      <c r="O12" s="36">
        <f>N12/N7</f>
        <v>-3.5998484274346347E-3</v>
      </c>
      <c r="P12" s="112">
        <f>N12</f>
        <v>-122.78355479249997</v>
      </c>
      <c r="Q12" s="36">
        <f>Q11/P10</f>
        <v>1.4000822895410138E-2</v>
      </c>
    </row>
    <row r="13" spans="1:17" ht="15.75">
      <c r="A13" s="18" t="s">
        <v>17</v>
      </c>
      <c r="B13" s="155">
        <f>SUM(B9:B12)</f>
        <v>26581.170000000006</v>
      </c>
      <c r="C13" s="118">
        <f>B13/B7</f>
        <v>0.81492235584970796</v>
      </c>
      <c r="D13" s="158">
        <f>SUM(D9:D12)</f>
        <v>26979.887550000003</v>
      </c>
      <c r="E13" s="119">
        <f>D13/D7</f>
        <v>0.81492235584970785</v>
      </c>
      <c r="F13" s="106">
        <f>SUM(F9:F12)</f>
        <v>27061.133450000001</v>
      </c>
      <c r="G13" s="120"/>
      <c r="H13" s="119">
        <f>F13/F7</f>
        <v>0.81336449683312995</v>
      </c>
      <c r="I13" s="120"/>
      <c r="J13" s="158">
        <f>SUM(J9:J12)</f>
        <v>27384.585863249999</v>
      </c>
      <c r="K13" s="119">
        <f>J13/J7</f>
        <v>0.81492235584970785</v>
      </c>
      <c r="L13" s="109">
        <f>SUM(L9:L12)</f>
        <v>27629.574863249996</v>
      </c>
      <c r="M13" s="77"/>
      <c r="N13" s="158">
        <f>SUM(N9:N12)</f>
        <v>27795.354651198744</v>
      </c>
      <c r="O13" s="121">
        <f>N13/N7</f>
        <v>0.81492235584970785</v>
      </c>
      <c r="P13" s="109">
        <f>SUM(P9:P12)</f>
        <v>28390.350651198743</v>
      </c>
      <c r="Q13" s="36"/>
    </row>
    <row r="14" spans="1:17" ht="15.75">
      <c r="A14" s="18" t="s">
        <v>18</v>
      </c>
      <c r="B14" s="156">
        <f>B7-B13</f>
        <v>6036.8699999999917</v>
      </c>
      <c r="C14" s="68">
        <f>B14/B7</f>
        <v>0.18507764415029204</v>
      </c>
      <c r="D14" s="86">
        <f>D7-D13</f>
        <v>6127.423049999994</v>
      </c>
      <c r="E14" s="113">
        <f>D14/D7</f>
        <v>0.18507764415029213</v>
      </c>
      <c r="F14" s="105">
        <f>F7-F13</f>
        <v>6209.4771499999988</v>
      </c>
      <c r="H14" s="113">
        <f>F14/F7</f>
        <v>0.18663550316687</v>
      </c>
      <c r="J14" s="86">
        <f>J7-J13</f>
        <v>6219.3343957499928</v>
      </c>
      <c r="K14" s="113">
        <f>J14/J7</f>
        <v>0.18507764415029213</v>
      </c>
      <c r="L14" s="108">
        <f>L7-L13</f>
        <v>6395.0953957499951</v>
      </c>
      <c r="M14" s="76"/>
      <c r="N14" s="81">
        <f>N7-N13</f>
        <v>6312.6244116862435</v>
      </c>
      <c r="O14" s="36">
        <f>N14/N7</f>
        <v>0.18507764415029218</v>
      </c>
      <c r="P14" s="112">
        <f>P7-P13</f>
        <v>6559.1284116862444</v>
      </c>
      <c r="Q14" s="36"/>
    </row>
    <row r="15" spans="1:17" ht="15.75">
      <c r="A15" s="1" t="s">
        <v>19</v>
      </c>
      <c r="B15" s="157"/>
      <c r="C15" s="67"/>
      <c r="D15" s="81"/>
      <c r="E15" s="113"/>
      <c r="F15" s="105"/>
      <c r="H15" s="113"/>
      <c r="J15" s="86"/>
      <c r="K15" s="113"/>
      <c r="L15" s="108"/>
      <c r="M15" s="76"/>
      <c r="N15" s="81"/>
      <c r="O15" s="36"/>
      <c r="P15" s="112"/>
      <c r="Q15" s="36"/>
    </row>
    <row r="16" spans="1:17" ht="15.75">
      <c r="A16" t="s">
        <v>20</v>
      </c>
      <c r="B16" s="76">
        <f>'Historical Income Statement'!B17*1.5</f>
        <v>693</v>
      </c>
      <c r="C16" s="36">
        <f>B16/B7</f>
        <v>2.1245911771522755E-2</v>
      </c>
      <c r="D16" s="81">
        <f>D7*C16</f>
        <v>703.39499999999998</v>
      </c>
      <c r="E16" s="113">
        <f>D16/D7</f>
        <v>2.1245911771522755E-2</v>
      </c>
      <c r="F16" s="105">
        <f>D16</f>
        <v>703.39499999999998</v>
      </c>
      <c r="H16" s="113">
        <f>F16/F7</f>
        <v>2.1141631828061488E-2</v>
      </c>
      <c r="J16" s="86">
        <f>J7*E16</f>
        <v>713.94592499999987</v>
      </c>
      <c r="K16" s="113">
        <f>J16/J7</f>
        <v>2.1245911771522755E-2</v>
      </c>
      <c r="L16" s="108">
        <f>J16</f>
        <v>713.94592499999987</v>
      </c>
      <c r="M16" s="76"/>
      <c r="N16" s="81">
        <f>K16*N7</f>
        <v>724.65511387499987</v>
      </c>
      <c r="O16" s="36">
        <f>N16/N7</f>
        <v>2.1245911771522755E-2</v>
      </c>
      <c r="P16" s="112">
        <f>N16</f>
        <v>724.65511387499987</v>
      </c>
      <c r="Q16" s="36"/>
    </row>
    <row r="17" spans="1:17" ht="15.75">
      <c r="A17" t="s">
        <v>21</v>
      </c>
      <c r="B17" s="75">
        <f>B14-B16</f>
        <v>5343.8699999999917</v>
      </c>
      <c r="C17" s="122">
        <f>B17/B7</f>
        <v>0.1638317323787693</v>
      </c>
      <c r="D17" s="82">
        <f>D14-D16</f>
        <v>5424.0280499999935</v>
      </c>
      <c r="E17" s="123">
        <f>D17/D7</f>
        <v>0.16383173237876936</v>
      </c>
      <c r="F17" s="30">
        <f>F14-F16</f>
        <v>5506.0821499999984</v>
      </c>
      <c r="G17" s="3"/>
      <c r="H17" s="123">
        <f>F17/F7</f>
        <v>0.1654938713388085</v>
      </c>
      <c r="I17" s="3"/>
      <c r="J17" s="82">
        <f>J14-J16</f>
        <v>5505.3884707499928</v>
      </c>
      <c r="K17" s="123">
        <f>J17/J7</f>
        <v>0.16383173237876936</v>
      </c>
      <c r="L17" s="110">
        <f>L14-L16</f>
        <v>5681.1494707499951</v>
      </c>
      <c r="M17" s="75"/>
      <c r="N17" s="82">
        <f>N14-N16</f>
        <v>5587.9692978112435</v>
      </c>
      <c r="O17" s="122">
        <f>N17/N7</f>
        <v>0.16383173237876941</v>
      </c>
      <c r="P17" s="110">
        <f>P14-P16</f>
        <v>5834.4732978112443</v>
      </c>
      <c r="Q17" s="36"/>
    </row>
    <row r="18" spans="1:17" ht="15.75">
      <c r="A18" t="s">
        <v>22</v>
      </c>
      <c r="B18" s="76">
        <f>B17*0.21</f>
        <v>1122.2126999999982</v>
      </c>
      <c r="C18" s="36">
        <f>B18/B7</f>
        <v>3.4404663799541553E-2</v>
      </c>
      <c r="D18" s="81">
        <f>D17*0.21</f>
        <v>1139.0458904999987</v>
      </c>
      <c r="E18" s="113">
        <f>D18/D7</f>
        <v>3.4404663799541567E-2</v>
      </c>
      <c r="F18" s="105">
        <f>F17*0.21</f>
        <v>1156.2772514999997</v>
      </c>
      <c r="H18" s="113">
        <f>F18/F7</f>
        <v>3.4753712981149786E-2</v>
      </c>
      <c r="J18" s="86">
        <f>J17*0.21</f>
        <v>1156.1315788574984</v>
      </c>
      <c r="K18" s="113">
        <f>J18/J7</f>
        <v>3.4404663799541567E-2</v>
      </c>
      <c r="L18" s="108">
        <f>L17*0.21</f>
        <v>1193.041388857499</v>
      </c>
      <c r="M18" s="76"/>
      <c r="N18" s="81">
        <f>N17*0.21</f>
        <v>1173.473552540361</v>
      </c>
      <c r="O18" s="36">
        <f>N18/N7</f>
        <v>3.4404663799541574E-2</v>
      </c>
      <c r="P18" s="112">
        <f>P17*0.21</f>
        <v>1225.2393925403612</v>
      </c>
      <c r="Q18" s="36"/>
    </row>
    <row r="19" spans="1:17" ht="15.75">
      <c r="A19" t="s">
        <v>23</v>
      </c>
      <c r="B19" s="75">
        <f>B17-B18</f>
        <v>4221.6572999999935</v>
      </c>
      <c r="C19" s="122">
        <f>B19/B7</f>
        <v>0.12942706857922776</v>
      </c>
      <c r="D19" s="82">
        <f>D17-D18</f>
        <v>4284.9821594999949</v>
      </c>
      <c r="E19" s="123">
        <f>D19/D7</f>
        <v>0.12942706857922778</v>
      </c>
      <c r="F19" s="30">
        <f>F17-F18</f>
        <v>4349.8048984999987</v>
      </c>
      <c r="G19" s="3"/>
      <c r="H19" s="123">
        <f>F19/F7</f>
        <v>0.1307401583576587</v>
      </c>
      <c r="I19" s="3"/>
      <c r="J19" s="82">
        <f>J17-J18</f>
        <v>4349.2568918924944</v>
      </c>
      <c r="K19" s="123">
        <f>J19/J7</f>
        <v>0.12942706857922781</v>
      </c>
      <c r="L19" s="110">
        <f>L17-L18</f>
        <v>4488.1080818924966</v>
      </c>
      <c r="M19" s="75"/>
      <c r="N19" s="82">
        <f>N17-N18</f>
        <v>4414.4957452708823</v>
      </c>
      <c r="O19" s="122">
        <f>N19/N7</f>
        <v>0.12942706857922784</v>
      </c>
      <c r="P19" s="110">
        <f>P17-P18</f>
        <v>4609.233905270883</v>
      </c>
      <c r="Q19" s="36"/>
    </row>
    <row r="20" spans="1:17" ht="15.75">
      <c r="A20" t="s">
        <v>24</v>
      </c>
      <c r="B20" s="76">
        <f>'Historical Income Statement'!B21</f>
        <v>12</v>
      </c>
      <c r="C20" s="36">
        <f>B20/B7</f>
        <v>3.6789457613026417E-4</v>
      </c>
      <c r="D20" s="81">
        <v>12</v>
      </c>
      <c r="E20" s="113">
        <f>D20/D7</f>
        <v>3.6245771047316663E-4</v>
      </c>
      <c r="F20" s="105">
        <f>D20</f>
        <v>12</v>
      </c>
      <c r="H20" s="113">
        <f>F20/F7</f>
        <v>3.6067868258480353E-4</v>
      </c>
      <c r="J20" s="86">
        <v>14</v>
      </c>
      <c r="K20" s="113">
        <f>J20/J7</f>
        <v>4.1661805801513415E-4</v>
      </c>
      <c r="L20" s="108">
        <f>J20</f>
        <v>14</v>
      </c>
      <c r="M20" s="76"/>
      <c r="N20" s="81">
        <v>11</v>
      </c>
      <c r="O20" s="36">
        <f>N20/N7</f>
        <v>3.2250518213697933E-4</v>
      </c>
      <c r="P20" s="112">
        <f>N20</f>
        <v>11</v>
      </c>
      <c r="Q20" s="36"/>
    </row>
    <row r="21" spans="1:17" ht="15.75">
      <c r="A21" t="s">
        <v>25</v>
      </c>
      <c r="B21" s="78">
        <f>B19+B20</f>
        <v>4233.6572999999935</v>
      </c>
      <c r="C21" s="124">
        <f>B21/B7</f>
        <v>0.12979496315535802</v>
      </c>
      <c r="D21" s="92">
        <f>D19-D20</f>
        <v>4272.9821594999949</v>
      </c>
      <c r="E21" s="125">
        <f>D21/D7</f>
        <v>0.12906461086875462</v>
      </c>
      <c r="F21" s="32">
        <f>F19-F20</f>
        <v>4337.8048984999987</v>
      </c>
      <c r="G21" s="87"/>
      <c r="H21" s="125">
        <f>F21/F7</f>
        <v>0.13037947967507391</v>
      </c>
      <c r="I21" s="87"/>
      <c r="J21" s="92">
        <f>J19-J20</f>
        <v>4335.2568918924944</v>
      </c>
      <c r="K21" s="125">
        <f>J21/J7</f>
        <v>0.12901045052121268</v>
      </c>
      <c r="L21" s="31">
        <f>L19-L20</f>
        <v>4474.1080818924966</v>
      </c>
      <c r="M21" s="124"/>
      <c r="N21" s="92">
        <f>N19-N20</f>
        <v>4403.4957452708823</v>
      </c>
      <c r="O21" s="124">
        <f>N21/N7</f>
        <v>0.12910456339709084</v>
      </c>
      <c r="P21" s="126">
        <f>P19-P20</f>
        <v>4598.233905270883</v>
      </c>
      <c r="Q21" s="36"/>
    </row>
    <row r="22" spans="1:17" ht="15.75">
      <c r="O22" s="11"/>
    </row>
    <row r="23" spans="1:17" ht="15.75">
      <c r="O23" s="36"/>
    </row>
  </sheetData>
  <mergeCells count="10">
    <mergeCell ref="N1:Q1"/>
    <mergeCell ref="N2:Q2"/>
    <mergeCell ref="N3:Q3"/>
    <mergeCell ref="N4:Q4"/>
    <mergeCell ref="D5:F5"/>
    <mergeCell ref="J5:L5"/>
    <mergeCell ref="A1:M1"/>
    <mergeCell ref="A2:M2"/>
    <mergeCell ref="A3:M3"/>
    <mergeCell ref="A4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902AC-7997-5942-8474-637D4643D25E}">
  <dimension ref="A1:P51"/>
  <sheetViews>
    <sheetView tabSelected="1" workbookViewId="0">
      <pane xSplit="1" topLeftCell="E14" activePane="topRight" state="frozen"/>
      <selection pane="topRight" activeCell="H25" sqref="H25"/>
      <selection activeCell="A6" sqref="A6"/>
    </sheetView>
  </sheetViews>
  <sheetFormatPr defaultColWidth="11" defaultRowHeight="15.95"/>
  <cols>
    <col min="1" max="1" width="52.125" customWidth="1"/>
    <col min="2" max="2" width="21" customWidth="1"/>
    <col min="3" max="3" width="5" customWidth="1"/>
    <col min="4" max="4" width="21" customWidth="1"/>
    <col min="5" max="5" width="17.625" customWidth="1"/>
    <col min="6" max="6" width="5" customWidth="1"/>
    <col min="7" max="7" width="20.5" customWidth="1"/>
    <col min="8" max="8" width="15.875" customWidth="1"/>
    <col min="9" max="9" width="4.5" customWidth="1"/>
    <col min="10" max="13" width="20.875" customWidth="1"/>
    <col min="14" max="14" width="10.125" customWidth="1"/>
    <col min="15" max="15" width="10.375" customWidth="1"/>
    <col min="16" max="16" width="11.5" customWidth="1"/>
    <col min="18" max="18" width="48.125" customWidth="1"/>
  </cols>
  <sheetData>
    <row r="1" spans="1:16" ht="15.75">
      <c r="A1" s="145" t="s">
        <v>30</v>
      </c>
      <c r="B1" s="145"/>
      <c r="C1" s="145"/>
      <c r="D1" s="145"/>
      <c r="E1" s="145"/>
      <c r="F1" s="145"/>
      <c r="G1" s="145"/>
      <c r="H1" s="145"/>
      <c r="I1" s="145"/>
      <c r="J1" s="145"/>
      <c r="K1" s="128"/>
    </row>
    <row r="2" spans="1:16" ht="15.75">
      <c r="A2" s="145" t="s">
        <v>156</v>
      </c>
      <c r="B2" s="145"/>
      <c r="C2" s="145"/>
      <c r="D2" s="145"/>
      <c r="E2" s="145"/>
      <c r="F2" s="145"/>
      <c r="G2" s="145"/>
      <c r="H2" s="145"/>
      <c r="I2" s="145"/>
      <c r="J2" s="145"/>
      <c r="K2" s="128"/>
    </row>
    <row r="3" spans="1:16" ht="15.75">
      <c r="A3" s="145" t="s">
        <v>157</v>
      </c>
      <c r="B3" s="145"/>
      <c r="C3" s="145"/>
      <c r="D3" s="145"/>
      <c r="E3" s="145"/>
      <c r="F3" s="145"/>
      <c r="G3" s="145"/>
      <c r="H3" s="145"/>
      <c r="I3" s="145"/>
      <c r="J3" s="145"/>
      <c r="K3" s="128"/>
    </row>
    <row r="4" spans="1:16" ht="15.75">
      <c r="A4" s="145" t="s">
        <v>33</v>
      </c>
      <c r="B4" s="145"/>
      <c r="C4" s="145"/>
      <c r="D4" s="145"/>
      <c r="E4" s="145"/>
      <c r="F4" s="145"/>
      <c r="G4" s="145"/>
      <c r="H4" s="145"/>
      <c r="I4" s="145"/>
      <c r="J4" s="145"/>
      <c r="K4" s="128"/>
      <c r="N4" s="160"/>
      <c r="O4" s="160"/>
      <c r="P4" s="160"/>
    </row>
    <row r="5" spans="1:16">
      <c r="A5" s="73"/>
      <c r="B5" s="73"/>
      <c r="C5" s="73"/>
      <c r="D5" s="149" t="s">
        <v>146</v>
      </c>
      <c r="E5" s="149"/>
      <c r="F5" s="130"/>
      <c r="G5" s="149" t="s">
        <v>147</v>
      </c>
      <c r="H5" s="149"/>
      <c r="I5" s="130"/>
      <c r="J5" s="150" t="s">
        <v>158</v>
      </c>
      <c r="K5" s="150"/>
      <c r="M5" s="73"/>
      <c r="N5" s="73"/>
      <c r="O5" s="73"/>
      <c r="P5" s="73"/>
    </row>
    <row r="6" spans="1:16">
      <c r="A6" s="1" t="s">
        <v>36</v>
      </c>
      <c r="B6" s="9" t="s">
        <v>149</v>
      </c>
      <c r="C6" s="27"/>
      <c r="D6" s="27" t="s">
        <v>154</v>
      </c>
      <c r="E6" s="27" t="s">
        <v>155</v>
      </c>
      <c r="F6" s="27"/>
      <c r="G6" s="27" t="s">
        <v>154</v>
      </c>
      <c r="H6" s="27" t="s">
        <v>155</v>
      </c>
      <c r="I6" s="27"/>
      <c r="J6" s="27" t="s">
        <v>154</v>
      </c>
      <c r="K6" s="27" t="s">
        <v>155</v>
      </c>
    </row>
    <row r="7" spans="1:16">
      <c r="A7" t="s">
        <v>37</v>
      </c>
      <c r="B7" s="132">
        <v>3381</v>
      </c>
      <c r="C7" s="132"/>
      <c r="D7" s="133">
        <v>4588</v>
      </c>
      <c r="E7" s="134">
        <v>4522</v>
      </c>
      <c r="F7" s="132"/>
      <c r="G7" s="133">
        <v>6738</v>
      </c>
      <c r="H7" s="134">
        <v>6631</v>
      </c>
      <c r="I7" s="132"/>
      <c r="J7" s="133">
        <v>7646</v>
      </c>
      <c r="K7" s="134">
        <v>7407</v>
      </c>
      <c r="L7" s="73"/>
      <c r="M7" s="73"/>
      <c r="N7" s="73"/>
      <c r="O7" s="73"/>
    </row>
    <row r="8" spans="1:16">
      <c r="A8" t="s">
        <v>38</v>
      </c>
      <c r="B8" s="76">
        <f>'Historical Balance Sheet'!B8*0.75</f>
        <v>73.5</v>
      </c>
      <c r="C8" s="76"/>
      <c r="D8" s="81">
        <f>B8*0.75</f>
        <v>55.125</v>
      </c>
      <c r="E8" s="29">
        <f>D8</f>
        <v>55.125</v>
      </c>
      <c r="G8" s="81">
        <f>D8*0.75</f>
        <v>41.34375</v>
      </c>
      <c r="H8" s="29">
        <f>G8</f>
        <v>41.34375</v>
      </c>
      <c r="J8" s="81">
        <f>G8*0.75</f>
        <v>31.0078125</v>
      </c>
      <c r="K8" s="29">
        <f>J8</f>
        <v>31.0078125</v>
      </c>
      <c r="L8" s="73"/>
      <c r="M8" s="73"/>
      <c r="N8" s="73"/>
      <c r="O8" s="73"/>
    </row>
    <row r="9" spans="1:16">
      <c r="A9" t="s">
        <v>39</v>
      </c>
      <c r="B9" s="76">
        <f>'Historical Balance Sheet'!B9*1.02</f>
        <v>4886.82</v>
      </c>
      <c r="C9" s="76"/>
      <c r="D9" s="81">
        <f>(B9*1.02)</f>
        <v>4984.5563999999995</v>
      </c>
      <c r="E9" s="29">
        <f>D9*(1+'Proforma Income Statement '!G8)</f>
        <v>5009.0217778647511</v>
      </c>
      <c r="G9" s="81">
        <f>D9*1.02</f>
        <v>5084.2475279999999</v>
      </c>
      <c r="H9" s="29">
        <f>G9*(1+'Proforma Income Statement '!M8)</f>
        <v>5147.1194715375032</v>
      </c>
      <c r="J9" s="81">
        <f>G9*1.02</f>
        <v>5185.9324785600002</v>
      </c>
      <c r="K9" s="29">
        <f>J9*(1+'Proforma Income Statement '!Q8)</f>
        <v>5310.797349159534</v>
      </c>
      <c r="L9" s="73"/>
      <c r="M9" s="73"/>
      <c r="N9" s="73"/>
      <c r="O9" s="73"/>
    </row>
    <row r="10" spans="1:16">
      <c r="A10" s="1" t="s">
        <v>40</v>
      </c>
      <c r="B10" s="76"/>
      <c r="C10" s="76"/>
      <c r="D10" s="81"/>
      <c r="E10" s="72"/>
      <c r="G10" s="81"/>
      <c r="H10" s="29"/>
      <c r="J10" s="81"/>
      <c r="K10" s="72"/>
      <c r="L10" s="73"/>
      <c r="M10" s="73"/>
      <c r="N10" s="73"/>
      <c r="O10" s="73"/>
    </row>
    <row r="11" spans="1:16">
      <c r="A11" t="s">
        <v>41</v>
      </c>
      <c r="B11" s="76">
        <f>'Historical Balance Sheet'!B11*1.03</f>
        <v>2063.09</v>
      </c>
      <c r="C11" s="76"/>
      <c r="D11" s="81">
        <f>B11*1.03</f>
        <v>2124.9827</v>
      </c>
      <c r="E11" s="29">
        <f>D11*((1)+'Proforma Income Statement '!E9-'Proforma Income Statement '!H9)</f>
        <v>2126.3563273330883</v>
      </c>
      <c r="G11" s="81">
        <f>D11*1.03</f>
        <v>2188.7321809999999</v>
      </c>
      <c r="H11" s="29">
        <f>G11*(1+'Proforma Income Statement '!M10)</f>
        <v>2212.6489543653988</v>
      </c>
      <c r="J11" s="81">
        <f>G11*1.03</f>
        <v>2254.3941464300001</v>
      </c>
      <c r="K11" s="29">
        <f>J11*(1+'Proforma Income Statement '!Q10)</f>
        <v>2312.6503300720115</v>
      </c>
      <c r="L11" s="73"/>
      <c r="M11" s="73"/>
      <c r="N11" s="73"/>
      <c r="O11" s="73"/>
    </row>
    <row r="12" spans="1:16">
      <c r="A12" t="s">
        <v>42</v>
      </c>
      <c r="B12" s="76">
        <f>'Historical Balance Sheet'!B12*1.03</f>
        <v>1229.82</v>
      </c>
      <c r="C12" s="76"/>
      <c r="D12" s="81">
        <f>B12*1.03</f>
        <v>1266.7146</v>
      </c>
      <c r="E12" s="29">
        <f>D12*(1+'Proforma Income Statement '!E9-'Proforma Income Statement '!H9)</f>
        <v>1267.5334272769385</v>
      </c>
      <c r="G12" s="81">
        <f>D12*1.03</f>
        <v>1304.716038</v>
      </c>
      <c r="H12" s="29">
        <f>G12*(1+'Proforma Income Statement '!M10)</f>
        <v>1318.9729663066832</v>
      </c>
      <c r="J12" s="81">
        <f>G12*1.03</f>
        <v>1343.85751914</v>
      </c>
      <c r="K12" s="29">
        <f>J12*(1+'Proforma Income Statement '!Q10)</f>
        <v>1378.5843704972449</v>
      </c>
      <c r="L12" s="73"/>
      <c r="M12" s="73"/>
      <c r="N12" s="73"/>
      <c r="O12" s="73"/>
    </row>
    <row r="13" spans="1:16">
      <c r="A13" t="s">
        <v>43</v>
      </c>
      <c r="B13" s="76">
        <f>'Historical Balance Sheet'!B13*1.03</f>
        <v>965.11</v>
      </c>
      <c r="C13" s="76"/>
      <c r="D13" s="81">
        <f>B13*1.03</f>
        <v>994.06330000000003</v>
      </c>
      <c r="E13" s="29">
        <f>D13*(1+'Proforma Income Statement '!E9-'Proforma Income Statement '!H9)</f>
        <v>994.70588053474989</v>
      </c>
      <c r="G13" s="81">
        <f>D13*1.03</f>
        <v>1023.8851990000001</v>
      </c>
      <c r="H13" s="29">
        <f>G13*(1+'Proforma Income Statement '!M10)</f>
        <v>1035.0734249827153</v>
      </c>
      <c r="J13" s="86">
        <f>G13*1.03</f>
        <v>1054.60175497</v>
      </c>
      <c r="K13" s="29">
        <f>J13*(1+'Proforma Income Statement '!Q10)</f>
        <v>1081.8538987905515</v>
      </c>
      <c r="L13" s="73"/>
      <c r="M13" s="73"/>
      <c r="N13" s="73"/>
      <c r="O13" s="73"/>
    </row>
    <row r="14" spans="1:16">
      <c r="A14" t="s">
        <v>44</v>
      </c>
      <c r="B14" s="75">
        <f>SUM(B11:B13)</f>
        <v>4258.0199999999995</v>
      </c>
      <c r="C14" s="75"/>
      <c r="D14" s="82">
        <f>SUM(D11:D13)</f>
        <v>4385.7605999999996</v>
      </c>
      <c r="E14" s="30">
        <f>SUM(E11:E13)</f>
        <v>4388.5956351447767</v>
      </c>
      <c r="F14" s="3"/>
      <c r="G14" s="82">
        <f>SUM(G11:G13)</f>
        <v>4517.3334180000002</v>
      </c>
      <c r="H14" s="30">
        <f>SUM(H11:H13)</f>
        <v>4566.6953456547972</v>
      </c>
      <c r="I14" s="3"/>
      <c r="J14" s="82">
        <f>SUM(J11:J13)</f>
        <v>4652.8534205400001</v>
      </c>
      <c r="K14" s="30">
        <f>SUM(K11:K13)</f>
        <v>4773.0885993598076</v>
      </c>
      <c r="L14" s="73"/>
      <c r="M14" s="73"/>
      <c r="N14" s="73"/>
      <c r="O14" s="73"/>
    </row>
    <row r="15" spans="1:16">
      <c r="A15" t="s">
        <v>45</v>
      </c>
      <c r="B15" s="76">
        <f>'Historical Balance Sheet'!B15*0.88</f>
        <v>619.52</v>
      </c>
      <c r="C15" s="76"/>
      <c r="D15" s="81">
        <f>B15*0.9</f>
        <v>557.56799999999998</v>
      </c>
      <c r="E15" s="29">
        <f>D15</f>
        <v>557.56799999999998</v>
      </c>
      <c r="G15" s="81">
        <f>D15*0.9</f>
        <v>501.81119999999999</v>
      </c>
      <c r="H15" s="29">
        <f>G15</f>
        <v>501.81119999999999</v>
      </c>
      <c r="J15" s="81">
        <f>G15*0.9</f>
        <v>451.63008000000002</v>
      </c>
      <c r="K15" s="29">
        <f>J15</f>
        <v>451.63008000000002</v>
      </c>
      <c r="L15" s="73"/>
      <c r="M15" s="73"/>
      <c r="N15" s="73"/>
      <c r="O15" s="73"/>
    </row>
    <row r="16" spans="1:16">
      <c r="A16" t="s">
        <v>46</v>
      </c>
      <c r="B16" s="76">
        <f>'Historical Balance Sheet'!B16*1.5</f>
        <v>1336.5</v>
      </c>
      <c r="C16" s="76"/>
      <c r="D16" s="81">
        <f>B16*1.25</f>
        <v>1670.625</v>
      </c>
      <c r="E16" s="29">
        <f>D16</f>
        <v>1670.625</v>
      </c>
      <c r="G16" s="81">
        <f>D16*1.25</f>
        <v>2088.28125</v>
      </c>
      <c r="H16" s="105">
        <f>G16</f>
        <v>2088.28125</v>
      </c>
      <c r="J16" s="81">
        <f>G16*1.25</f>
        <v>2610.3515625</v>
      </c>
      <c r="K16" s="29">
        <f>J16</f>
        <v>2610.3515625</v>
      </c>
      <c r="L16" s="73"/>
      <c r="M16" s="73"/>
      <c r="N16" s="73"/>
      <c r="O16" s="73"/>
    </row>
    <row r="17" spans="1:15">
      <c r="A17" t="s">
        <v>47</v>
      </c>
      <c r="B17" s="75">
        <f>B7+B8+B9+B14+B15+B16</f>
        <v>14555.36</v>
      </c>
      <c r="C17" s="75"/>
      <c r="D17" s="82">
        <f>D7+D8+D9+D14+D15+D16</f>
        <v>16241.634999999998</v>
      </c>
      <c r="E17" s="30">
        <f>SUM(E7:E13)+E15+E16</f>
        <v>16202.935413009527</v>
      </c>
      <c r="F17" s="3"/>
      <c r="G17" s="82">
        <f>G7+G8+G9+G14+G15+G16</f>
        <v>18971.017145999998</v>
      </c>
      <c r="H17" s="30">
        <f>H7+H8+H9+H14+H15+H16</f>
        <v>18976.251017192299</v>
      </c>
      <c r="I17" s="3"/>
      <c r="J17" s="82">
        <f t="shared" ref="J17:K17" si="0">J7+J8+J9+J14+J15+J16</f>
        <v>20577.775354099998</v>
      </c>
      <c r="K17" s="30">
        <f t="shared" si="0"/>
        <v>20583.875403519338</v>
      </c>
      <c r="L17" s="73"/>
      <c r="M17" s="73"/>
      <c r="N17" s="73"/>
      <c r="O17" s="73"/>
    </row>
    <row r="18" spans="1:15">
      <c r="A18" t="s">
        <v>48</v>
      </c>
      <c r="B18" s="76">
        <f>'Historical Balance Sheet'!B18</f>
        <v>26124</v>
      </c>
      <c r="C18" s="76"/>
      <c r="D18" s="81">
        <f>B18</f>
        <v>26124</v>
      </c>
      <c r="E18" s="29">
        <f>D18+60</f>
        <v>26184</v>
      </c>
      <c r="G18" s="81">
        <f>D18</f>
        <v>26124</v>
      </c>
      <c r="H18" s="105">
        <f>E18+106</f>
        <v>26290</v>
      </c>
      <c r="J18" s="81">
        <f>G18</f>
        <v>26124</v>
      </c>
      <c r="K18" s="29">
        <f>H18+209</f>
        <v>26499</v>
      </c>
      <c r="L18" s="73"/>
      <c r="M18" s="73"/>
      <c r="N18" s="73"/>
      <c r="O18" s="73"/>
    </row>
    <row r="19" spans="1:15">
      <c r="A19" t="s">
        <v>49</v>
      </c>
      <c r="B19" s="76">
        <f>'Historical Balance Sheet'!B19*1.02</f>
        <v>-17126.82</v>
      </c>
      <c r="C19" s="76"/>
      <c r="D19" s="81">
        <f>B19*1.02</f>
        <v>-17469.356400000001</v>
      </c>
      <c r="E19" s="29">
        <f>D19-2</f>
        <v>-17471.356400000001</v>
      </c>
      <c r="G19" s="81">
        <f>D19*1.02</f>
        <v>-17818.743528000003</v>
      </c>
      <c r="H19" s="105">
        <f>G19-5</f>
        <v>-17823.743528000003</v>
      </c>
      <c r="J19" s="86">
        <f>G19*1.02</f>
        <v>-18175.118398560004</v>
      </c>
      <c r="K19" s="29">
        <f>J19-15</f>
        <v>-18190.118398560004</v>
      </c>
      <c r="L19" s="73"/>
      <c r="M19" s="73"/>
      <c r="N19" s="73"/>
      <c r="O19" s="73"/>
    </row>
    <row r="20" spans="1:15">
      <c r="A20" t="s">
        <v>50</v>
      </c>
      <c r="B20" s="75">
        <f>SUM(B18:B19)</f>
        <v>8997.18</v>
      </c>
      <c r="C20" s="75"/>
      <c r="D20" s="82">
        <f>SUM(D18:D19)</f>
        <v>8654.6435999999994</v>
      </c>
      <c r="E20" s="30">
        <f>E18+E19</f>
        <v>8712.6435999999994</v>
      </c>
      <c r="F20" s="3"/>
      <c r="G20" s="82">
        <f>SUM(G18:G19)</f>
        <v>8305.2564719999973</v>
      </c>
      <c r="H20" s="30">
        <f>H18+H19</f>
        <v>8466.2564719999973</v>
      </c>
      <c r="I20" s="3"/>
      <c r="J20" s="82">
        <f>J18+J19</f>
        <v>7948.8816014399963</v>
      </c>
      <c r="K20" s="30">
        <f>K18+K19</f>
        <v>8308.8816014399963</v>
      </c>
      <c r="L20" s="73"/>
      <c r="M20" s="73"/>
      <c r="N20" s="73"/>
      <c r="O20" s="73"/>
    </row>
    <row r="21" spans="1:15">
      <c r="A21" t="s">
        <v>51</v>
      </c>
      <c r="B21" s="76">
        <f>'Historical Balance Sheet'!B21</f>
        <v>858</v>
      </c>
      <c r="C21" s="76"/>
      <c r="D21" s="81">
        <f>B21</f>
        <v>858</v>
      </c>
      <c r="E21" s="29">
        <f>D21</f>
        <v>858</v>
      </c>
      <c r="G21" s="81">
        <f>D21</f>
        <v>858</v>
      </c>
      <c r="H21" s="105">
        <f>G21</f>
        <v>858</v>
      </c>
      <c r="J21" s="81">
        <f>G21</f>
        <v>858</v>
      </c>
      <c r="K21" s="29">
        <f>J21</f>
        <v>858</v>
      </c>
      <c r="L21" s="73"/>
      <c r="M21" s="73"/>
      <c r="N21" s="73"/>
      <c r="O21" s="73"/>
    </row>
    <row r="22" spans="1:15">
      <c r="A22" t="s">
        <v>52</v>
      </c>
      <c r="B22" s="76">
        <f>'Historical Balance Sheet'!B22</f>
        <v>13444</v>
      </c>
      <c r="C22" s="76"/>
      <c r="D22" s="81">
        <f>B22</f>
        <v>13444</v>
      </c>
      <c r="E22" s="29">
        <f>D22+50</f>
        <v>13494</v>
      </c>
      <c r="G22" s="81">
        <f>D22</f>
        <v>13444</v>
      </c>
      <c r="H22" s="105">
        <f>E22</f>
        <v>13494</v>
      </c>
      <c r="J22" s="81">
        <f>G22</f>
        <v>13444</v>
      </c>
      <c r="K22" s="29">
        <f>H22</f>
        <v>13494</v>
      </c>
      <c r="L22" s="73"/>
      <c r="M22" s="73"/>
      <c r="N22" s="73"/>
      <c r="O22" s="73"/>
    </row>
    <row r="23" spans="1:15">
      <c r="A23" t="s">
        <v>53</v>
      </c>
      <c r="B23" s="76">
        <f>'Historical Balance Sheet'!B23</f>
        <v>6379</v>
      </c>
      <c r="C23" s="76"/>
      <c r="D23" s="81">
        <f>B23</f>
        <v>6379</v>
      </c>
      <c r="E23" s="29">
        <f>D23</f>
        <v>6379</v>
      </c>
      <c r="G23" s="81">
        <f>D23</f>
        <v>6379</v>
      </c>
      <c r="H23" s="105">
        <f>G23</f>
        <v>6379</v>
      </c>
      <c r="J23" s="81">
        <f>G23</f>
        <v>6379</v>
      </c>
      <c r="K23" s="29">
        <f>J23</f>
        <v>6379</v>
      </c>
      <c r="L23" s="73"/>
      <c r="M23" s="73"/>
      <c r="N23" s="73"/>
      <c r="O23" s="73"/>
    </row>
    <row r="24" spans="1:15">
      <c r="A24" t="s">
        <v>54</v>
      </c>
      <c r="B24" s="76">
        <f>'Historical Balance Sheet'!B24*1.05</f>
        <v>1757.7</v>
      </c>
      <c r="C24" s="76"/>
      <c r="D24" s="81">
        <f>B24*1.05</f>
        <v>1845.585</v>
      </c>
      <c r="E24" s="29">
        <f>D24</f>
        <v>1845.585</v>
      </c>
      <c r="G24" s="81">
        <f>D24*1.05</f>
        <v>1937.8642500000001</v>
      </c>
      <c r="H24" s="105">
        <f>G24</f>
        <v>1937.8642500000001</v>
      </c>
      <c r="J24" s="81">
        <f>G24*1.05</f>
        <v>2034.7574625000002</v>
      </c>
      <c r="K24" s="29">
        <f>J24</f>
        <v>2034.7574625000002</v>
      </c>
      <c r="L24" s="73"/>
      <c r="M24" s="73"/>
      <c r="N24" s="73"/>
      <c r="O24" s="73"/>
    </row>
    <row r="25" spans="1:15" ht="17.100000000000001" thickBot="1">
      <c r="A25" s="1" t="s">
        <v>55</v>
      </c>
      <c r="B25" s="135">
        <f>B17+B20++B21+B22+B23+B24</f>
        <v>45991.24</v>
      </c>
      <c r="C25" s="135"/>
      <c r="D25" s="136">
        <f>D17+D20+D21+D22+D23+D24</f>
        <v>47422.863599999997</v>
      </c>
      <c r="E25" s="26">
        <f>E17+E20+E21+E22+E23+E24</f>
        <v>47492.164013009526</v>
      </c>
      <c r="F25" s="135"/>
      <c r="G25" s="136">
        <f>G17+G20+G21+G22+G23+G24</f>
        <v>49895.137867999991</v>
      </c>
      <c r="H25" s="153">
        <f>H17+H20+H21+H22+H23+H24</f>
        <v>50111.371739192298</v>
      </c>
      <c r="I25" s="135"/>
      <c r="J25" s="136">
        <f>J17+J20+J21+J22+J23+J24</f>
        <v>51242.414418039989</v>
      </c>
      <c r="K25" s="26">
        <f>K17+K20+K21+K22+K23+K24</f>
        <v>51658.514467459332</v>
      </c>
      <c r="L25" s="73"/>
      <c r="M25" s="73"/>
      <c r="N25" s="73"/>
      <c r="O25" s="73"/>
    </row>
    <row r="26" spans="1:15" ht="17.100000000000001" thickTop="1">
      <c r="A26" s="38" t="s">
        <v>56</v>
      </c>
      <c r="B26" s="76"/>
      <c r="C26" s="76"/>
      <c r="D26" s="81"/>
      <c r="E26" s="72"/>
      <c r="G26" s="81"/>
      <c r="H26" s="83"/>
      <c r="J26" s="81"/>
      <c r="K26" s="72"/>
      <c r="L26" s="73"/>
      <c r="M26" s="73"/>
      <c r="N26" s="73"/>
      <c r="O26" s="73"/>
    </row>
    <row r="27" spans="1:15">
      <c r="A27" s="1" t="s">
        <v>57</v>
      </c>
      <c r="B27" s="76">
        <f>'Historical Balance Sheet'!B27*0.9</f>
        <v>2515.5</v>
      </c>
      <c r="C27" s="76"/>
      <c r="D27" s="81">
        <f>B27*0.9</f>
        <v>2263.9500000000003</v>
      </c>
      <c r="E27" s="29">
        <f>D27*(1+'Proforma Income Statement '!G10)</f>
        <v>2272.3675275743294</v>
      </c>
      <c r="G27" s="81">
        <f>D27*0.9</f>
        <v>2037.5550000000003</v>
      </c>
      <c r="H27" s="29">
        <f>G27</f>
        <v>2037.5550000000003</v>
      </c>
      <c r="J27" s="81">
        <f>G27*0.9</f>
        <v>1833.7995000000003</v>
      </c>
      <c r="K27" s="29">
        <f>J27</f>
        <v>1833.7995000000003</v>
      </c>
      <c r="L27" s="73"/>
      <c r="M27" s="73"/>
      <c r="N27" s="73"/>
      <c r="O27" s="73"/>
    </row>
    <row r="28" spans="1:15">
      <c r="A28" t="s">
        <v>58</v>
      </c>
      <c r="B28" s="76">
        <f>'Historical Balance Sheet'!B28*0.99</f>
        <v>2205.7199999999998</v>
      </c>
      <c r="C28" s="76"/>
      <c r="D28" s="81">
        <f>B28*0.99</f>
        <v>2183.6627999999996</v>
      </c>
      <c r="E28" s="29">
        <f>D28*(1+'Proforma Income Statement '!G10)</f>
        <v>2191.7818140383115</v>
      </c>
      <c r="G28" s="81">
        <f>D28*0.99</f>
        <v>2161.8261719999996</v>
      </c>
      <c r="H28" s="29">
        <f>G28*(1+'Proforma Income Statement '!M10)</f>
        <v>2185.44893729762</v>
      </c>
      <c r="J28" s="81">
        <f>G28*0.99</f>
        <v>2140.2079102799994</v>
      </c>
      <c r="K28" s="29">
        <f>J28*(1+'Proforma Income Statement '!Q12)</f>
        <v>2170.1725821911855</v>
      </c>
      <c r="L28" s="73"/>
      <c r="M28" s="73"/>
      <c r="N28" s="73"/>
      <c r="O28" s="73"/>
    </row>
    <row r="29" spans="1:15">
      <c r="A29" t="s">
        <v>59</v>
      </c>
      <c r="B29" s="76">
        <f>'Historical Balance Sheet'!B29*0.95</f>
        <v>666.9</v>
      </c>
      <c r="C29" s="76"/>
      <c r="D29" s="81">
        <f>B29*0.95</f>
        <v>633.55499999999995</v>
      </c>
      <c r="E29" s="29">
        <f>D29</f>
        <v>633.55499999999995</v>
      </c>
      <c r="G29" s="81">
        <f>D29*0.95</f>
        <v>601.87724999999989</v>
      </c>
      <c r="H29" s="29">
        <f>G29</f>
        <v>601.87724999999989</v>
      </c>
      <c r="J29" s="81">
        <f>G29*0.95</f>
        <v>571.78338749999989</v>
      </c>
      <c r="K29" s="29">
        <f>J29</f>
        <v>571.78338749999989</v>
      </c>
      <c r="L29" s="73"/>
      <c r="M29" s="73"/>
      <c r="N29" s="73"/>
      <c r="O29" s="73"/>
    </row>
    <row r="30" spans="1:15">
      <c r="A30" t="s">
        <v>60</v>
      </c>
      <c r="B30" s="76">
        <f>'Historical Balance Sheet'!B30*0.8</f>
        <v>155.20000000000002</v>
      </c>
      <c r="C30" s="76"/>
      <c r="D30" s="81">
        <f>B30*0.8</f>
        <v>124.16000000000003</v>
      </c>
      <c r="E30" s="29">
        <f>D30</f>
        <v>124.16000000000003</v>
      </c>
      <c r="G30" s="81">
        <f>D30*0.8</f>
        <v>99.328000000000031</v>
      </c>
      <c r="H30" s="29">
        <f>G30</f>
        <v>99.328000000000031</v>
      </c>
      <c r="J30" s="81">
        <f>G30*0.8</f>
        <v>79.462400000000031</v>
      </c>
      <c r="K30" s="29">
        <f>J30</f>
        <v>79.462400000000031</v>
      </c>
      <c r="L30" s="73"/>
      <c r="M30" s="73"/>
      <c r="N30" s="73"/>
      <c r="O30" s="73"/>
    </row>
    <row r="31" spans="1:15">
      <c r="A31" t="s">
        <v>61</v>
      </c>
      <c r="B31" s="76">
        <f>'Historical Balance Sheet'!B31</f>
        <v>247</v>
      </c>
      <c r="C31" s="76"/>
      <c r="D31" s="81">
        <f>B31</f>
        <v>247</v>
      </c>
      <c r="E31" s="29">
        <f>D31</f>
        <v>247</v>
      </c>
      <c r="G31" s="81">
        <f>D31</f>
        <v>247</v>
      </c>
      <c r="H31" s="29">
        <f>G31</f>
        <v>247</v>
      </c>
      <c r="J31" s="81">
        <f>G31</f>
        <v>247</v>
      </c>
      <c r="K31" s="29">
        <f>J31</f>
        <v>247</v>
      </c>
      <c r="L31" s="73"/>
      <c r="M31" s="73"/>
      <c r="N31" s="73"/>
      <c r="O31" s="73"/>
    </row>
    <row r="32" spans="1:15">
      <c r="A32" t="s">
        <v>62</v>
      </c>
      <c r="B32" s="76">
        <f>'Historical Balance Sheet'!B32*1.02</f>
        <v>3117.12</v>
      </c>
      <c r="C32" s="76"/>
      <c r="D32" s="81">
        <f>B32*1.02</f>
        <v>3179.4623999999999</v>
      </c>
      <c r="E32" s="29">
        <f>D32</f>
        <v>3179.4623999999999</v>
      </c>
      <c r="G32" s="81">
        <f>D32*1.02</f>
        <v>3243.0516480000001</v>
      </c>
      <c r="H32" s="29">
        <f>G32</f>
        <v>3243.0516480000001</v>
      </c>
      <c r="J32" s="86">
        <f>G32*1.02</f>
        <v>3307.9126809600002</v>
      </c>
      <c r="K32" s="29">
        <f>J32</f>
        <v>3307.9126809600002</v>
      </c>
      <c r="L32" s="73"/>
      <c r="M32" s="73"/>
      <c r="N32" s="73"/>
      <c r="O32" s="73"/>
    </row>
    <row r="33" spans="1:15">
      <c r="A33" t="s">
        <v>63</v>
      </c>
      <c r="B33" s="75">
        <f>SUM(B27:B32)</f>
        <v>8907.4399999999987</v>
      </c>
      <c r="C33" s="75"/>
      <c r="D33" s="82">
        <f>SUM(D27:D32)</f>
        <v>8631.7901999999995</v>
      </c>
      <c r="E33" s="30">
        <f>SUM(E27:E32)</f>
        <v>8648.3267416126419</v>
      </c>
      <c r="F33" s="3"/>
      <c r="G33" s="82">
        <f>SUM(G27:G32)</f>
        <v>8390.6380699999991</v>
      </c>
      <c r="H33" s="30">
        <f>SUM(H27:H32)</f>
        <v>8414.2608352976204</v>
      </c>
      <c r="I33" s="3"/>
      <c r="J33" s="82">
        <f>SUM(J27:J32)</f>
        <v>8180.1658787400002</v>
      </c>
      <c r="K33" s="30">
        <f>SUM(K27:K32)</f>
        <v>8210.1305506511853</v>
      </c>
      <c r="L33" s="73"/>
      <c r="M33" s="73"/>
      <c r="N33" s="73"/>
      <c r="O33" s="73"/>
    </row>
    <row r="34" spans="1:15">
      <c r="A34" t="s">
        <v>64</v>
      </c>
      <c r="B34" s="76">
        <f>'Historical Balance Sheet'!B34*1.03</f>
        <v>18043.54</v>
      </c>
      <c r="C34" s="76"/>
      <c r="D34" s="81">
        <f>B34*1.03</f>
        <v>18584.8462</v>
      </c>
      <c r="E34" s="29">
        <f>D34</f>
        <v>18584.8462</v>
      </c>
      <c r="G34" s="81">
        <f>D34*1.03</f>
        <v>19142.391586000002</v>
      </c>
      <c r="H34" s="29">
        <f>G34</f>
        <v>19142.391586000002</v>
      </c>
      <c r="J34" s="81">
        <f>G34*1.03</f>
        <v>19716.663333580003</v>
      </c>
      <c r="K34" s="29">
        <f>J34</f>
        <v>19716.663333580003</v>
      </c>
      <c r="L34" s="73"/>
      <c r="M34" s="73"/>
      <c r="N34" s="73"/>
      <c r="O34" s="73"/>
    </row>
    <row r="35" spans="1:15">
      <c r="A35" t="s">
        <v>65</v>
      </c>
      <c r="B35" s="76">
        <f>'Historical Balance Sheet'!B35*1.01</f>
        <v>3950.11</v>
      </c>
      <c r="C35" s="76"/>
      <c r="D35" s="81">
        <f>B35*1.01</f>
        <v>3989.6111000000001</v>
      </c>
      <c r="E35" s="29">
        <f>D35</f>
        <v>3989.6111000000001</v>
      </c>
      <c r="G35" s="81">
        <f>D35*1.02</f>
        <v>4069.4033220000001</v>
      </c>
      <c r="H35" s="29">
        <f>G35</f>
        <v>4069.4033220000001</v>
      </c>
      <c r="J35" s="81">
        <f>G35*1.02</f>
        <v>4150.7913884400004</v>
      </c>
      <c r="K35" s="29">
        <f>J35</f>
        <v>4150.7913884400004</v>
      </c>
      <c r="L35" s="73"/>
      <c r="M35" s="73"/>
      <c r="N35" s="73"/>
      <c r="O35" s="73"/>
    </row>
    <row r="36" spans="1:15">
      <c r="A36" t="s">
        <v>66</v>
      </c>
      <c r="B36" s="76">
        <f>'Historical Balance Sheet'!B36</f>
        <v>607</v>
      </c>
      <c r="C36" s="76"/>
      <c r="D36" s="81">
        <f>B36</f>
        <v>607</v>
      </c>
      <c r="E36" s="29">
        <f>D36</f>
        <v>607</v>
      </c>
      <c r="G36" s="81">
        <f>D36</f>
        <v>607</v>
      </c>
      <c r="H36" s="29">
        <f>G36</f>
        <v>607</v>
      </c>
      <c r="J36" s="81">
        <f>G36</f>
        <v>607</v>
      </c>
      <c r="K36" s="29">
        <f>J36</f>
        <v>607</v>
      </c>
      <c r="L36" s="73"/>
      <c r="M36" s="73"/>
      <c r="N36" s="73"/>
      <c r="O36" s="73"/>
    </row>
    <row r="37" spans="1:15">
      <c r="A37" t="s">
        <v>67</v>
      </c>
      <c r="B37" s="76">
        <f>'Historical Balance Sheet'!B37*1.03</f>
        <v>3373.25</v>
      </c>
      <c r="C37" s="76"/>
      <c r="D37" s="81">
        <f>B37*1.03</f>
        <v>3474.4475000000002</v>
      </c>
      <c r="E37" s="29">
        <f>D37</f>
        <v>3474.4475000000002</v>
      </c>
      <c r="G37" s="81">
        <f>D37*1.03</f>
        <v>3578.6809250000001</v>
      </c>
      <c r="H37" s="29">
        <f>G37</f>
        <v>3578.6809250000001</v>
      </c>
      <c r="J37" s="86">
        <f>G37*1.03</f>
        <v>3686.04135275</v>
      </c>
      <c r="K37" s="29">
        <f>J37</f>
        <v>3686.04135275</v>
      </c>
      <c r="L37" s="73"/>
      <c r="M37" s="73"/>
      <c r="N37" s="73"/>
      <c r="O37" s="73"/>
    </row>
    <row r="38" spans="1:15">
      <c r="A38" s="1" t="s">
        <v>68</v>
      </c>
      <c r="B38" s="75">
        <f>SUM(B33:B37)</f>
        <v>34881.339999999997</v>
      </c>
      <c r="C38" s="75"/>
      <c r="D38" s="82">
        <f>SUM(D33:D37)</f>
        <v>35287.695</v>
      </c>
      <c r="E38" s="30">
        <f>SUM(E33:E37)</f>
        <v>35304.231541612644</v>
      </c>
      <c r="F38" s="3"/>
      <c r="G38" s="82">
        <f>SUM(G33:G37)</f>
        <v>35788.113902999998</v>
      </c>
      <c r="H38" s="30">
        <f>SUM(H33:H37)</f>
        <v>35811.736668297621</v>
      </c>
      <c r="I38" s="3"/>
      <c r="J38" s="82">
        <f>SUM(J33:J37)</f>
        <v>36340.661953510004</v>
      </c>
      <c r="K38" s="30">
        <f>SUM(K33:K37)</f>
        <v>36370.626625421188</v>
      </c>
      <c r="L38" s="73"/>
      <c r="M38" s="73"/>
      <c r="N38" s="73"/>
      <c r="O38" s="73"/>
    </row>
    <row r="39" spans="1:15">
      <c r="A39" t="s">
        <v>69</v>
      </c>
      <c r="B39" s="76"/>
      <c r="C39" s="76"/>
      <c r="D39" s="81"/>
      <c r="E39" s="72"/>
      <c r="G39" s="81"/>
      <c r="H39" s="72"/>
      <c r="J39" s="81"/>
      <c r="K39" s="72"/>
      <c r="L39" s="73"/>
      <c r="M39" s="73"/>
      <c r="N39" s="73"/>
      <c r="O39" s="73"/>
    </row>
    <row r="40" spans="1:15">
      <c r="A40" s="1" t="s">
        <v>70</v>
      </c>
      <c r="B40" s="76"/>
      <c r="C40" s="76"/>
      <c r="D40" s="81"/>
      <c r="E40" s="72"/>
      <c r="G40" s="81"/>
      <c r="H40" s="72"/>
      <c r="J40" s="81"/>
      <c r="K40" s="72"/>
      <c r="L40" s="73"/>
      <c r="M40" s="73"/>
      <c r="N40" s="73"/>
      <c r="O40" s="73"/>
    </row>
    <row r="41" spans="1:15">
      <c r="A41" t="s">
        <v>71</v>
      </c>
      <c r="B41" s="76">
        <f>'Historical Balance Sheet'!B41</f>
        <v>9</v>
      </c>
      <c r="C41" s="76"/>
      <c r="D41" s="81">
        <v>9</v>
      </c>
      <c r="E41" s="29">
        <f>D41</f>
        <v>9</v>
      </c>
      <c r="G41" s="81">
        <v>9</v>
      </c>
      <c r="H41" s="29">
        <f>G41</f>
        <v>9</v>
      </c>
      <c r="J41" s="81">
        <f>G41</f>
        <v>9</v>
      </c>
      <c r="K41" s="29">
        <f>J41</f>
        <v>9</v>
      </c>
      <c r="L41" s="73"/>
      <c r="M41" s="73"/>
      <c r="N41" s="73"/>
      <c r="O41" s="73"/>
    </row>
    <row r="42" spans="1:15">
      <c r="A42" t="s">
        <v>72</v>
      </c>
      <c r="B42" s="76">
        <f>'Historical Balance Sheet'!B42*1.05</f>
        <v>6202.35</v>
      </c>
      <c r="C42" s="76"/>
      <c r="D42" s="81">
        <f>B42*1.05</f>
        <v>6512.4675000000007</v>
      </c>
      <c r="E42" s="29">
        <f>D42</f>
        <v>6512.4675000000007</v>
      </c>
      <c r="G42" s="81">
        <f>D42*1.05</f>
        <v>6838.0908750000008</v>
      </c>
      <c r="H42" s="29">
        <f>G42</f>
        <v>6838.0908750000008</v>
      </c>
      <c r="J42" s="81">
        <f>G42</f>
        <v>6838.0908750000008</v>
      </c>
      <c r="K42" s="29">
        <f>J42</f>
        <v>6838.0908750000008</v>
      </c>
      <c r="L42" s="73"/>
      <c r="M42" s="73"/>
      <c r="N42" s="73"/>
      <c r="O42" s="73"/>
    </row>
    <row r="43" spans="1:15">
      <c r="A43" t="s">
        <v>73</v>
      </c>
      <c r="B43" s="76">
        <f>'Historical Balance Sheet'!B43+'Proforma Income Statement '!B19+'Histoical Stmt of Cash Flows'!B39</f>
        <v>43040.657299999992</v>
      </c>
      <c r="C43" s="76"/>
      <c r="D43" s="81">
        <f>B43+'Proforma Income Statement '!D19+'Proforma Stmt of Cash Flows'!B40</f>
        <v>43976.479459499984</v>
      </c>
      <c r="E43" s="101">
        <f>B43+'Proforma Income Statement '!F21+'Proforma Stmt of Cash Flows'!B40</f>
        <v>44029.302198499994</v>
      </c>
      <c r="G43" s="81">
        <f>D43+'Proforma Income Statement '!J19+'Proforma Stmt of Cash Flows'!B40</f>
        <v>44976.576351392476</v>
      </c>
      <c r="H43" s="29">
        <f>E43+'Proforma Income Statement '!L19+'Proforma Stmt of Cash Flows'!G40</f>
        <v>45168.139747059155</v>
      </c>
      <c r="J43" s="81">
        <f>G43+'Proforma Income Statement '!N19+'Proforma Stmt of Cash Flows'!D40</f>
        <v>46008.420496663362</v>
      </c>
      <c r="K43" s="29">
        <f>H43+'Proforma Income Statement '!P19+'Proforma Stmt of Cash Flows'!D40</f>
        <v>46394.722052330042</v>
      </c>
      <c r="L43" s="73"/>
      <c r="M43" s="73"/>
      <c r="N43" s="73"/>
      <c r="O43" s="73"/>
    </row>
    <row r="44" spans="1:15">
      <c r="A44" t="s">
        <v>74</v>
      </c>
      <c r="B44" s="76">
        <f>'Historical Balance Sheet'!B44*1.01</f>
        <v>-30147.49</v>
      </c>
      <c r="C44" s="76"/>
      <c r="D44" s="81">
        <f>B44*1.01</f>
        <v>-30448.964900000003</v>
      </c>
      <c r="E44" s="29">
        <f>D44</f>
        <v>-30448.964900000003</v>
      </c>
      <c r="G44" s="81">
        <f>D44*1.01</f>
        <v>-30753.454549000002</v>
      </c>
      <c r="H44" s="29">
        <f>G44</f>
        <v>-30753.454549000002</v>
      </c>
      <c r="J44" s="81">
        <f>G44*1.01</f>
        <v>-31060.989094490003</v>
      </c>
      <c r="K44" s="29">
        <f>J44</f>
        <v>-31060.989094490003</v>
      </c>
      <c r="L44" s="73"/>
      <c r="M44" s="73"/>
      <c r="N44" s="73"/>
      <c r="O44" s="73"/>
    </row>
    <row r="45" spans="1:15">
      <c r="A45" t="s">
        <v>75</v>
      </c>
      <c r="B45" s="76">
        <f>'Historical Balance Sheet'!B45*0.99</f>
        <v>-8057.61</v>
      </c>
      <c r="C45" s="76"/>
      <c r="D45" s="81">
        <f>B45*0.99</f>
        <v>-7977.0338999999994</v>
      </c>
      <c r="E45" s="29">
        <f>D45</f>
        <v>-7977.0338999999994</v>
      </c>
      <c r="G45" s="81">
        <v>-7026</v>
      </c>
      <c r="H45" s="29">
        <f>G45</f>
        <v>-7026</v>
      </c>
      <c r="J45" s="86">
        <f>G45*0.99</f>
        <v>-6955.74</v>
      </c>
      <c r="K45" s="29">
        <f>J45</f>
        <v>-6955.74</v>
      </c>
      <c r="L45" s="73"/>
      <c r="M45" s="73"/>
      <c r="N45" s="73"/>
      <c r="O45" s="73"/>
    </row>
    <row r="46" spans="1:15">
      <c r="A46" t="s">
        <v>76</v>
      </c>
      <c r="B46" s="75">
        <f>SUM(B41:B45)</f>
        <v>11046.907299999988</v>
      </c>
      <c r="C46" s="75"/>
      <c r="D46" s="82">
        <f>SUM(D41:D45)</f>
        <v>12071.948159499982</v>
      </c>
      <c r="E46" s="30">
        <f>SUM(E41:E45)</f>
        <v>12124.770898499992</v>
      </c>
      <c r="F46" s="3"/>
      <c r="G46" s="82">
        <f>SUM(G41:G45)</f>
        <v>14044.212677392476</v>
      </c>
      <c r="H46" s="30">
        <f>SUM(H41:H45)</f>
        <v>14235.776073059154</v>
      </c>
      <c r="I46" s="3"/>
      <c r="J46" s="82">
        <f>SUM(J41:J45)</f>
        <v>14838.782277173361</v>
      </c>
      <c r="K46" s="30">
        <f>SUM(K41:K45)</f>
        <v>15225.08383284004</v>
      </c>
      <c r="L46" s="73"/>
      <c r="M46" s="73"/>
      <c r="N46" s="73"/>
      <c r="O46" s="73"/>
    </row>
    <row r="47" spans="1:15">
      <c r="A47" t="s">
        <v>77</v>
      </c>
      <c r="B47" s="76">
        <f>'Historical Balance Sheet'!B47</f>
        <v>63</v>
      </c>
      <c r="C47" s="76"/>
      <c r="D47" s="81">
        <f>B47</f>
        <v>63</v>
      </c>
      <c r="E47" s="29">
        <f>D47</f>
        <v>63</v>
      </c>
      <c r="G47" s="81">
        <f>D47</f>
        <v>63</v>
      </c>
      <c r="H47" s="29">
        <f>G47</f>
        <v>63</v>
      </c>
      <c r="J47" s="86">
        <f>G47</f>
        <v>63</v>
      </c>
      <c r="K47" s="29">
        <f>J47</f>
        <v>63</v>
      </c>
      <c r="L47" s="73"/>
      <c r="M47" s="73"/>
      <c r="N47" s="73"/>
      <c r="O47" s="73"/>
    </row>
    <row r="48" spans="1:15">
      <c r="A48" t="s">
        <v>78</v>
      </c>
      <c r="B48" s="77">
        <f>SUM(B46:B47)</f>
        <v>11109.907299999988</v>
      </c>
      <c r="C48" s="75"/>
      <c r="D48" s="82">
        <f>SUM(D46:D47)</f>
        <v>12134.948159499982</v>
      </c>
      <c r="E48" s="30">
        <f>E46+E47</f>
        <v>12187.770898499992</v>
      </c>
      <c r="F48" s="3"/>
      <c r="G48" s="82">
        <f>SUM(G46:G47)</f>
        <v>14107.212677392476</v>
      </c>
      <c r="H48" s="30">
        <f>H46+H47</f>
        <v>14298.776073059154</v>
      </c>
      <c r="I48" s="3"/>
      <c r="J48" s="82">
        <f>SUM(J46:J47)</f>
        <v>14901.782277173361</v>
      </c>
      <c r="K48" s="30">
        <f>K46+K47</f>
        <v>15288.08383284004</v>
      </c>
      <c r="L48" s="73"/>
      <c r="M48" s="73"/>
      <c r="N48" s="73"/>
      <c r="O48" s="73"/>
    </row>
    <row r="49" spans="1:15" ht="17.100000000000001" thickBot="1">
      <c r="A49" s="1" t="s">
        <v>79</v>
      </c>
      <c r="B49" s="135">
        <f>B38+B48</f>
        <v>45991.247299999988</v>
      </c>
      <c r="C49" s="135"/>
      <c r="D49" s="136">
        <f>D38+D48</f>
        <v>47422.643159499981</v>
      </c>
      <c r="E49" s="26">
        <f>E38+E48</f>
        <v>47492.002440112636</v>
      </c>
      <c r="F49" s="135"/>
      <c r="G49" s="136">
        <f>G38+G48</f>
        <v>49895.326580392473</v>
      </c>
      <c r="H49" s="26">
        <f>H38+H48</f>
        <v>50110.512741356775</v>
      </c>
      <c r="I49" s="135"/>
      <c r="J49" s="136">
        <f>J38+J48</f>
        <v>51242.444230683366</v>
      </c>
      <c r="K49" s="26">
        <f>K48+K38</f>
        <v>51658.71045826123</v>
      </c>
      <c r="L49" s="73"/>
      <c r="M49" s="73"/>
      <c r="N49" s="73"/>
      <c r="O49" s="73"/>
    </row>
    <row r="50" spans="1:15" ht="17.100000000000001" thickTop="1">
      <c r="B50" s="76"/>
      <c r="C50" s="76"/>
      <c r="D50" s="76"/>
      <c r="E50" s="76"/>
      <c r="F50" s="76"/>
      <c r="G50" s="76"/>
      <c r="H50" s="76"/>
      <c r="I50" s="76"/>
      <c r="J50" s="76"/>
      <c r="K50" s="76"/>
    </row>
    <row r="51" spans="1:15" ht="15.75"/>
  </sheetData>
  <mergeCells count="8">
    <mergeCell ref="N4:P4"/>
    <mergeCell ref="D5:E5"/>
    <mergeCell ref="G5:H5"/>
    <mergeCell ref="J5:K5"/>
    <mergeCell ref="A1:J1"/>
    <mergeCell ref="A2:J2"/>
    <mergeCell ref="A3:J3"/>
    <mergeCell ref="A4:J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56B3D-458C-F849-91F4-C031494502AB}">
  <dimension ref="A1:P48"/>
  <sheetViews>
    <sheetView topLeftCell="A20" workbookViewId="0">
      <pane xSplit="1" topLeftCell="E26" activePane="topRight" state="frozen"/>
      <selection pane="topRight" activeCell="G27" sqref="G27"/>
      <selection activeCell="A18" sqref="A18"/>
    </sheetView>
  </sheetViews>
  <sheetFormatPr defaultColWidth="11" defaultRowHeight="15.95"/>
  <cols>
    <col min="1" max="1" width="68.5" customWidth="1"/>
    <col min="2" max="2" width="22.875" customWidth="1"/>
    <col min="3" max="3" width="9.625" customWidth="1"/>
    <col min="4" max="5" width="22.875" customWidth="1"/>
    <col min="6" max="6" width="6.375" customWidth="1"/>
    <col min="7" max="7" width="22.375" customWidth="1"/>
    <col min="8" max="8" width="20" customWidth="1"/>
    <col min="9" max="9" width="5.625" customWidth="1"/>
    <col min="10" max="10" width="20.875" customWidth="1"/>
    <col min="11" max="11" width="20.5" customWidth="1"/>
    <col min="12" max="12" width="19.375" customWidth="1"/>
    <col min="15" max="15" width="34.125" customWidth="1"/>
  </cols>
  <sheetData>
    <row r="1" spans="1:16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6">
      <c r="A2" s="145" t="s">
        <v>81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6">
      <c r="A3" s="145" t="s">
        <v>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1:16">
      <c r="A4" s="145" t="s">
        <v>33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6">
      <c r="A5" s="5"/>
      <c r="B5" s="149" t="s">
        <v>5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O5" s="73"/>
      <c r="P5" s="74"/>
    </row>
    <row r="6" spans="1:16">
      <c r="A6" s="5"/>
      <c r="D6" s="149" t="s">
        <v>146</v>
      </c>
      <c r="E6" s="149"/>
      <c r="F6" s="89"/>
      <c r="G6" s="149" t="s">
        <v>147</v>
      </c>
      <c r="H6" s="149"/>
      <c r="I6" s="89"/>
      <c r="J6" s="149" t="s">
        <v>148</v>
      </c>
      <c r="K6" s="149"/>
      <c r="L6" s="5"/>
      <c r="M6" s="73"/>
      <c r="N6" s="74"/>
    </row>
    <row r="7" spans="1:16">
      <c r="B7" s="27" t="s">
        <v>149</v>
      </c>
      <c r="C7" s="27"/>
      <c r="D7" s="27" t="s">
        <v>154</v>
      </c>
      <c r="E7" s="27" t="s">
        <v>153</v>
      </c>
      <c r="F7" s="27"/>
      <c r="G7" s="27" t="s">
        <v>151</v>
      </c>
      <c r="H7" s="27" t="s">
        <v>153</v>
      </c>
      <c r="I7" s="27"/>
      <c r="J7" s="27" t="s">
        <v>154</v>
      </c>
      <c r="K7" s="27" t="s">
        <v>153</v>
      </c>
      <c r="M7" s="73"/>
      <c r="N7" s="74"/>
    </row>
    <row r="8" spans="1:16">
      <c r="A8" s="1" t="s">
        <v>82</v>
      </c>
      <c r="M8" s="73"/>
      <c r="N8" s="74"/>
    </row>
    <row r="9" spans="1:16">
      <c r="A9" t="s">
        <v>23</v>
      </c>
      <c r="B9" s="132">
        <f>'Proforma Income Statement '!B19</f>
        <v>4221.6572999999935</v>
      </c>
      <c r="C9" s="132"/>
      <c r="D9" s="133">
        <f>'Proforma Income Statement '!D19</f>
        <v>4284.9821594999949</v>
      </c>
      <c r="E9" s="134">
        <f>'Proforma Income Statement '!F19</f>
        <v>4349.8048984999987</v>
      </c>
      <c r="F9" s="132"/>
      <c r="G9" s="133">
        <f>'Proforma Income Statement '!J19</f>
        <v>4349.2568918924944</v>
      </c>
      <c r="H9" s="134">
        <f>'Proforma Income Statement '!L19</f>
        <v>4488.1080818924966</v>
      </c>
      <c r="I9" s="132"/>
      <c r="J9" s="133">
        <f>'Proforma Income Statement '!N19</f>
        <v>4414.4957452708823</v>
      </c>
      <c r="K9" s="134">
        <f>'Proforma Income Statement '!P19</f>
        <v>4609.233905270883</v>
      </c>
      <c r="N9" s="36"/>
    </row>
    <row r="10" spans="1:16">
      <c r="A10" s="1" t="s">
        <v>83</v>
      </c>
      <c r="D10" s="91"/>
      <c r="E10" s="29"/>
      <c r="G10" s="91"/>
      <c r="H10" s="29"/>
      <c r="J10" s="91"/>
      <c r="K10" s="72"/>
    </row>
    <row r="11" spans="1:16">
      <c r="A11" t="s">
        <v>84</v>
      </c>
      <c r="B11" s="76">
        <f>SUM('Histoical Stmt of Cash Flows'!B10+'Histoical Stmt of Cash Flows'!E10+'Histoical Stmt of Cash Flows'!H10)/3</f>
        <v>1541.6666666666667</v>
      </c>
      <c r="C11" s="76"/>
      <c r="D11" s="81">
        <f>SUM(B11,'Histoical Stmt of Cash Flows'!B10,'Histoical Stmt of Cash Flows'!E10)/3</f>
        <v>1540.8888888888889</v>
      </c>
      <c r="E11" s="29">
        <f>D11</f>
        <v>1540.8888888888889</v>
      </c>
      <c r="G11" s="81">
        <f>SUM(D11,B11,'Histoical Stmt of Cash Flows'!B10)/3</f>
        <v>1558.5185185185185</v>
      </c>
      <c r="H11" s="101">
        <f>G11</f>
        <v>1558.5185185185185</v>
      </c>
      <c r="I11" s="76"/>
      <c r="J11" s="81">
        <f>SUM(G11,D11,B11)/3</f>
        <v>1547.0246913580247</v>
      </c>
      <c r="K11" s="29">
        <f>J11</f>
        <v>1547.0246913580247</v>
      </c>
    </row>
    <row r="12" spans="1:16">
      <c r="A12" t="s">
        <v>85</v>
      </c>
      <c r="B12" s="76">
        <f>'Historical Balance Sheet'!B35-'Proforma Balance Sheet'!B35</f>
        <v>-39.110000000000127</v>
      </c>
      <c r="C12" s="76"/>
      <c r="D12" s="81">
        <f>'Proforma Balance Sheet'!B35-'Proforma Balance Sheet'!D35</f>
        <v>-39.501099999999951</v>
      </c>
      <c r="E12" s="29">
        <f>D12</f>
        <v>-39.501099999999951</v>
      </c>
      <c r="G12" s="81">
        <f>'Proforma Balance Sheet'!D35-'Proforma Balance Sheet'!G35</f>
        <v>-79.792222000000038</v>
      </c>
      <c r="H12" s="29">
        <f>G12</f>
        <v>-79.792222000000038</v>
      </c>
      <c r="I12" s="76"/>
      <c r="J12" s="143">
        <f>'Proforma Balance Sheet'!G35-'Proforma Balance Sheet'!J35</f>
        <v>-81.38806644000033</v>
      </c>
      <c r="K12" s="29">
        <f>J12</f>
        <v>-81.38806644000033</v>
      </c>
    </row>
    <row r="13" spans="1:16">
      <c r="A13" t="s">
        <v>86</v>
      </c>
      <c r="B13" s="76">
        <f>SUM('Histoical Stmt of Cash Flows'!B12,'Histoical Stmt of Cash Flows'!E12,'Histoical Stmt of Cash Flows'!H12)/3</f>
        <v>367</v>
      </c>
      <c r="C13" s="76"/>
      <c r="D13" s="81">
        <f>SUM(B13,'Histoical Stmt of Cash Flows'!B12,'Histoical Stmt of Cash Flows'!E12)/3</f>
        <v>378</v>
      </c>
      <c r="E13" s="29">
        <f>D13</f>
        <v>378</v>
      </c>
      <c r="G13" s="81">
        <f>SUM(D13,B13,'Histoical Stmt of Cash Flows'!B12)/3</f>
        <v>367.33333333333331</v>
      </c>
      <c r="H13" s="29">
        <f>G13</f>
        <v>367.33333333333331</v>
      </c>
      <c r="I13" s="76"/>
      <c r="J13" s="143">
        <f>SUM(G13,D13,B13)/3</f>
        <v>370.77777777777777</v>
      </c>
      <c r="K13" s="29">
        <f>J13</f>
        <v>370.77777777777777</v>
      </c>
    </row>
    <row r="14" spans="1:16">
      <c r="A14" t="s">
        <v>87</v>
      </c>
      <c r="B14" s="76">
        <f>SUM('Histoical Stmt of Cash Flows'!B13,'Histoical Stmt of Cash Flows'!E13,'Histoical Stmt of Cash Flows'!H13)/3</f>
        <v>301.33333333333331</v>
      </c>
      <c r="C14" s="76"/>
      <c r="D14" s="81">
        <f>SUM(B14,'Histoical Stmt of Cash Flows'!B13,'Histoical Stmt of Cash Flows'!E13)/3</f>
        <v>293.77777777777777</v>
      </c>
      <c r="E14" s="29">
        <f>D14</f>
        <v>293.77777777777777</v>
      </c>
      <c r="G14" s="81">
        <f>SUM(D14,B14,'Histoical Stmt of Cash Flows'!B13)/3</f>
        <v>291.03703703703701</v>
      </c>
      <c r="H14" s="29">
        <f>G14</f>
        <v>291.03703703703701</v>
      </c>
      <c r="I14" s="76"/>
      <c r="J14" s="143">
        <f>SUM(G14,D14,B14)/3</f>
        <v>295.38271604938268</v>
      </c>
      <c r="K14" s="29">
        <f>J14</f>
        <v>295.38271604938268</v>
      </c>
    </row>
    <row r="15" spans="1:16">
      <c r="A15" t="s">
        <v>16</v>
      </c>
      <c r="B15" s="76">
        <f>SUM('Histoical Stmt of Cash Flows'!B14,'Histoical Stmt of Cash Flows'!E14,'Histoical Stmt of Cash Flows'!H14)/3</f>
        <v>-414</v>
      </c>
      <c r="C15" s="76"/>
      <c r="D15" s="81">
        <f>SUM(B15,'Histoical Stmt of Cash Flows'!B14,'Histoical Stmt of Cash Flows'!E14)/3</f>
        <v>-356.66666666666669</v>
      </c>
      <c r="E15" s="29">
        <f>D15</f>
        <v>-356.66666666666669</v>
      </c>
      <c r="G15" s="81">
        <f>SUM(D15,B15,'Histoical Stmt of Cash Flows'!B14)/3</f>
        <v>-293.88888888888891</v>
      </c>
      <c r="H15" s="29">
        <f>G15</f>
        <v>-293.88888888888891</v>
      </c>
      <c r="I15" s="76"/>
      <c r="J15" s="143">
        <f>SUM(G15,D15,B15)/3</f>
        <v>-354.8518518518519</v>
      </c>
      <c r="K15" s="29">
        <f>J15</f>
        <v>-354.8518518518519</v>
      </c>
    </row>
    <row r="16" spans="1:16">
      <c r="A16" t="s">
        <v>88</v>
      </c>
      <c r="B16" s="76">
        <f>'Historical Balance Sheet'!B30-'Proforma Balance Sheet'!B30</f>
        <v>38.799999999999983</v>
      </c>
      <c r="C16" s="76"/>
      <c r="D16" s="81">
        <f>'Proforma Balance Sheet'!B30-'Proforma Balance Sheet'!D30</f>
        <v>31.039999999999992</v>
      </c>
      <c r="E16" s="29">
        <f>D16</f>
        <v>31.039999999999992</v>
      </c>
      <c r="G16" s="81">
        <f>'Proforma Balance Sheet'!G30-'Proforma Balance Sheet'!J30</f>
        <v>19.865600000000001</v>
      </c>
      <c r="H16" s="29">
        <f>G16</f>
        <v>19.865600000000001</v>
      </c>
      <c r="I16" s="76"/>
      <c r="J16" s="143">
        <f>SUM(G16,D16,B16)/3</f>
        <v>29.90186666666666</v>
      </c>
      <c r="K16" s="29">
        <f>J16</f>
        <v>29.90186666666666</v>
      </c>
    </row>
    <row r="17" spans="1:11">
      <c r="A17" t="s">
        <v>89</v>
      </c>
      <c r="B17" s="76">
        <v>0</v>
      </c>
      <c r="C17" s="76"/>
      <c r="D17" s="81">
        <v>0</v>
      </c>
      <c r="E17" s="29">
        <f>D17</f>
        <v>0</v>
      </c>
      <c r="G17" s="81">
        <v>0</v>
      </c>
      <c r="H17" s="29">
        <v>0</v>
      </c>
      <c r="I17" s="76"/>
      <c r="J17" s="143">
        <f>SUM(G17,D17,B17)/3</f>
        <v>0</v>
      </c>
      <c r="K17" s="29">
        <f>J17</f>
        <v>0</v>
      </c>
    </row>
    <row r="18" spans="1:11">
      <c r="A18" s="1" t="s">
        <v>91</v>
      </c>
      <c r="B18" s="76"/>
      <c r="C18" s="76"/>
      <c r="D18" s="81"/>
      <c r="E18" s="29"/>
      <c r="G18" s="81"/>
      <c r="H18" s="29"/>
      <c r="I18" s="76"/>
      <c r="J18" s="143"/>
      <c r="K18" s="29"/>
    </row>
    <row r="19" spans="1:11">
      <c r="A19" t="s">
        <v>92</v>
      </c>
      <c r="B19" s="76">
        <f>'Historical Balance Sheet'!B9-'Proforma Balance Sheet'!B9</f>
        <v>-95.819999999999709</v>
      </c>
      <c r="C19" s="76"/>
      <c r="D19" s="81">
        <f>'Proforma Balance Sheet'!B9-'Proforma Balance Sheet'!D9</f>
        <v>-97.736399999999776</v>
      </c>
      <c r="E19" s="29">
        <f>'Proforma Balance Sheet'!B9-'Proforma Balance Sheet'!E9</f>
        <v>-122.20177786475142</v>
      </c>
      <c r="G19" s="81">
        <f>'Proforma Balance Sheet'!D9-'Proforma Balance Sheet'!G9</f>
        <v>-99.69112800000039</v>
      </c>
      <c r="H19" s="29">
        <f>'Proforma Balance Sheet'!E9-'Proforma Balance Sheet'!H9</f>
        <v>-138.09769367275203</v>
      </c>
      <c r="I19" s="76"/>
      <c r="J19" s="143">
        <f>'Proforma Balance Sheet'!G9-'Proforma Balance Sheet'!J9</f>
        <v>-101.68495056000029</v>
      </c>
      <c r="K19" s="29">
        <f>'Proforma Balance Sheet'!H9-'Proforma Balance Sheet'!K9</f>
        <v>-163.67787762203079</v>
      </c>
    </row>
    <row r="20" spans="1:11">
      <c r="A20" t="s">
        <v>40</v>
      </c>
      <c r="B20" s="76">
        <f>'Historical Balance Sheet'!B14-'Proforma Balance Sheet'!B14</f>
        <v>-124.01999999999953</v>
      </c>
      <c r="C20" s="76"/>
      <c r="D20" s="81">
        <f>'Proforma Balance Sheet'!B14-'Proforma Balance Sheet'!D14</f>
        <v>-127.74060000000009</v>
      </c>
      <c r="E20" s="29">
        <f>'Proforma Balance Sheet'!B14-'Proforma Balance Sheet'!E14</f>
        <v>-130.57563514477715</v>
      </c>
      <c r="G20" s="81">
        <f>'Proforma Balance Sheet'!D14-'Proforma Balance Sheet'!G14</f>
        <v>-131.57281800000055</v>
      </c>
      <c r="H20" s="29">
        <f>'Proforma Balance Sheet'!E14-'Proforma Balance Sheet'!H14</f>
        <v>-178.09971051002049</v>
      </c>
      <c r="I20" s="76"/>
      <c r="J20" s="143">
        <f>'Proforma Balance Sheet'!G14-'Proforma Balance Sheet'!J14</f>
        <v>-135.52000253999995</v>
      </c>
      <c r="K20" s="29">
        <f>'Proforma Balance Sheet'!H14-'Proforma Balance Sheet'!K14</f>
        <v>-206.39325370501047</v>
      </c>
    </row>
    <row r="21" spans="1:11">
      <c r="A21" t="s">
        <v>58</v>
      </c>
      <c r="B21" s="76">
        <f>'Proforma Balance Sheet'!B28-'Historical Balance Sheet'!B28</f>
        <v>-22.2800000000002</v>
      </c>
      <c r="C21" s="76"/>
      <c r="D21" s="81">
        <f>'Proforma Balance Sheet'!D28-'Proforma Balance Sheet'!B28</f>
        <v>-22.057200000000194</v>
      </c>
      <c r="E21" s="29">
        <f>'Proforma Balance Sheet'!E28-'Proforma Balance Sheet'!B28</f>
        <v>-13.938185961688305</v>
      </c>
      <c r="G21" s="81">
        <f>'Proforma Balance Sheet'!G28-'Proforma Balance Sheet'!D28</f>
        <v>-21.836628000000019</v>
      </c>
      <c r="H21" s="29">
        <f>'Proforma Balance Sheet'!H28-'Proforma Balance Sheet'!E28</f>
        <v>-6.3328767406915176</v>
      </c>
      <c r="I21" s="76"/>
      <c r="J21" s="143">
        <f>'Proforma Balance Sheet'!J28-'Proforma Balance Sheet'!G28</f>
        <v>-21.618261720000191</v>
      </c>
      <c r="K21" s="29">
        <f>'Proforma Balance Sheet'!K28-'Proforma Balance Sheet'!H28</f>
        <v>-15.276355106434494</v>
      </c>
    </row>
    <row r="22" spans="1:11">
      <c r="A22" t="s">
        <v>93</v>
      </c>
      <c r="B22" s="76">
        <f>'Proforma Balance Sheet'!B30-'Historical Balance Sheet'!B30</f>
        <v>-38.799999999999983</v>
      </c>
      <c r="C22" s="76"/>
      <c r="D22" s="81">
        <f>'Proforma Balance Sheet'!D30-'Proforma Balance Sheet'!B30</f>
        <v>-31.039999999999992</v>
      </c>
      <c r="E22" s="29">
        <f>'Proforma Balance Sheet'!E30-'Proforma Balance Sheet'!B30</f>
        <v>-31.039999999999992</v>
      </c>
      <c r="G22" s="81">
        <f>'Proforma Balance Sheet'!G30-'Proforma Balance Sheet'!D30</f>
        <v>-24.831999999999994</v>
      </c>
      <c r="H22" s="29">
        <f>G22</f>
        <v>-24.831999999999994</v>
      </c>
      <c r="I22" s="76"/>
      <c r="J22" s="143">
        <f>'Proforma Balance Sheet'!J30-'Proforma Balance Sheet'!G30</f>
        <v>-19.865600000000001</v>
      </c>
      <c r="K22" s="29">
        <f>J22</f>
        <v>-19.865600000000001</v>
      </c>
    </row>
    <row r="23" spans="1:11">
      <c r="A23" t="s">
        <v>94</v>
      </c>
      <c r="B23" s="76">
        <f>'Proforma Balance Sheet'!B37-'Historical Balance Sheet'!B37</f>
        <v>98.25</v>
      </c>
      <c r="C23" s="76"/>
      <c r="D23" s="81">
        <f>'Proforma Balance Sheet'!B24-'Proforma Balance Sheet'!D24</f>
        <v>-87.884999999999991</v>
      </c>
      <c r="E23" s="29">
        <f>D23</f>
        <v>-87.884999999999991</v>
      </c>
      <c r="G23" s="81">
        <f>'Proforma Balance Sheet'!D24-'Proforma Balance Sheet'!G24</f>
        <v>-92.279250000000047</v>
      </c>
      <c r="H23" s="29">
        <f>G23</f>
        <v>-92.279250000000047</v>
      </c>
      <c r="I23" s="76"/>
      <c r="J23" s="143">
        <f>'Proforma Balance Sheet'!G24-'Proforma Balance Sheet'!J24</f>
        <v>-96.893212500000118</v>
      </c>
      <c r="K23" s="29">
        <f>J23</f>
        <v>-96.893212500000118</v>
      </c>
    </row>
    <row r="24" spans="1:11">
      <c r="A24" t="s">
        <v>95</v>
      </c>
      <c r="B24" s="75">
        <f>SUM(B9:B23)</f>
        <v>5834.6772999999948</v>
      </c>
      <c r="C24" s="75"/>
      <c r="D24" s="142">
        <f>SUM(D9:D23)</f>
        <v>5766.0618594999933</v>
      </c>
      <c r="E24" s="30">
        <f>SUM(E9:E23)</f>
        <v>5811.7031995287807</v>
      </c>
      <c r="F24" s="3"/>
      <c r="G24" s="142">
        <f>SUM(G9:G23)</f>
        <v>5842.1184458924927</v>
      </c>
      <c r="H24" s="30">
        <f>SUM(H9:H23)</f>
        <v>5911.5399289690322</v>
      </c>
      <c r="I24" s="75"/>
      <c r="J24" s="142">
        <f>SUM(J9:J23)</f>
        <v>5845.7608515108814</v>
      </c>
      <c r="K24" s="23">
        <f>SUM(K9:K23)</f>
        <v>5913.9747398974068</v>
      </c>
    </row>
    <row r="25" spans="1:11">
      <c r="A25" s="1" t="s">
        <v>96</v>
      </c>
      <c r="B25" s="76"/>
      <c r="C25" s="76"/>
      <c r="D25" s="143"/>
      <c r="E25" s="29"/>
      <c r="G25" s="143"/>
      <c r="H25" s="29"/>
      <c r="I25" s="76"/>
      <c r="J25" s="143"/>
      <c r="K25" s="29"/>
    </row>
    <row r="26" spans="1:11">
      <c r="A26" t="s">
        <v>97</v>
      </c>
      <c r="B26" s="76">
        <v>-834</v>
      </c>
      <c r="C26" s="76"/>
      <c r="D26" s="81">
        <v>-749</v>
      </c>
      <c r="E26" s="29">
        <f>D26-76</f>
        <v>-825</v>
      </c>
      <c r="G26" s="81">
        <v>-300</v>
      </c>
      <c r="H26" s="29">
        <f>G26-111</f>
        <v>-411</v>
      </c>
      <c r="I26" s="76"/>
      <c r="J26" s="81">
        <f>(SUM(G26,D26,B26)/3)+330</f>
        <v>-297.66666666666663</v>
      </c>
      <c r="K26" s="29">
        <f>-498</f>
        <v>-498</v>
      </c>
    </row>
    <row r="27" spans="1:11">
      <c r="A27" t="s">
        <v>98</v>
      </c>
      <c r="B27" s="76">
        <f>SUM('Histoical Stmt of Cash Flows'!B26,'Histoical Stmt of Cash Flows'!E26,'Histoical Stmt of Cash Flows'!H26)/3</f>
        <v>144.66666666666666</v>
      </c>
      <c r="C27" s="76"/>
      <c r="D27" s="81">
        <f>SUM(B27,'Histoical Stmt of Cash Flows'!B26,'Histoical Stmt of Cash Flows'!E26)/3</f>
        <v>176.55555555555554</v>
      </c>
      <c r="E27" s="29">
        <f>D27</f>
        <v>176.55555555555554</v>
      </c>
      <c r="G27" s="143">
        <f>SUM(D27,B27,'Histoical Stmt of Cash Flows'!B26)/3</f>
        <v>148.07407407407405</v>
      </c>
      <c r="H27" s="29">
        <f>G27</f>
        <v>148.07407407407405</v>
      </c>
      <c r="I27" s="76"/>
      <c r="J27" s="143">
        <f>SUM(G27,D27,B27)/3</f>
        <v>156.43209876543207</v>
      </c>
      <c r="K27" s="29">
        <f>J27</f>
        <v>156.43209876543207</v>
      </c>
    </row>
    <row r="28" spans="1:11">
      <c r="A28" t="s">
        <v>99</v>
      </c>
      <c r="B28" s="76">
        <v>0</v>
      </c>
      <c r="C28" s="76"/>
      <c r="D28" s="81">
        <v>0</v>
      </c>
      <c r="E28" s="29">
        <v>-120</v>
      </c>
      <c r="G28" s="143">
        <v>0</v>
      </c>
      <c r="H28" s="29">
        <v>0</v>
      </c>
      <c r="I28" s="76"/>
      <c r="J28" s="81">
        <f>SUM(G28,D28,B28)/3</f>
        <v>0</v>
      </c>
      <c r="K28" s="29">
        <f>J28</f>
        <v>0</v>
      </c>
    </row>
    <row r="29" spans="1:11">
      <c r="A29" t="s">
        <v>100</v>
      </c>
      <c r="B29" s="76">
        <f>SUM('Histoical Stmt of Cash Flows'!B28,'Histoical Stmt of Cash Flows'!E28,'Histoical Stmt of Cash Flows'!H28)/3</f>
        <v>-1871.6666666666667</v>
      </c>
      <c r="C29" s="76"/>
      <c r="D29" s="81">
        <f>SUM(B29,'Histoical Stmt of Cash Flows'!B28,'Histoical Stmt of Cash Flows'!E28)/3</f>
        <v>-1778.2222222222224</v>
      </c>
      <c r="E29" s="29">
        <f>D29</f>
        <v>-1778.2222222222224</v>
      </c>
      <c r="G29" s="81">
        <f>(SUM(D29,B29,'Histoical Stmt of Cash Flows'!B28)/3)</f>
        <v>-1761.6296296296296</v>
      </c>
      <c r="H29" s="29">
        <f>G29</f>
        <v>-1761.6296296296296</v>
      </c>
      <c r="I29" s="76"/>
      <c r="J29" s="81">
        <f>SUM(G29,D29,B29)/3</f>
        <v>-1803.8395061728397</v>
      </c>
      <c r="K29" s="29">
        <f>J29</f>
        <v>-1803.8395061728397</v>
      </c>
    </row>
    <row r="30" spans="1:11">
      <c r="A30" t="s">
        <v>101</v>
      </c>
      <c r="B30" s="76">
        <f>SUM('Histoical Stmt of Cash Flows'!B29,'Histoical Stmt of Cash Flows'!E29,'Histoical Stmt of Cash Flows'!H29)/3</f>
        <v>1764.6666666666667</v>
      </c>
      <c r="C30" s="76"/>
      <c r="D30" s="81">
        <f>SUM(B30,'Histoical Stmt of Cash Flows'!B29,'Histoical Stmt of Cash Flows'!E29)/3</f>
        <v>1901.5555555555557</v>
      </c>
      <c r="E30" s="29">
        <f>D30</f>
        <v>1901.5555555555557</v>
      </c>
      <c r="G30" s="81">
        <f>SUM(D30,B30,'Histoical Stmt of Cash Flows'!B29)/3</f>
        <v>1703.0740740740741</v>
      </c>
      <c r="H30" s="29">
        <f>G30</f>
        <v>1703.0740740740741</v>
      </c>
      <c r="I30" s="76"/>
      <c r="J30" s="81">
        <f>SUM(G30,D30,B30)/3</f>
        <v>1789.7654320987656</v>
      </c>
      <c r="K30" s="29">
        <f>J30</f>
        <v>1789.7654320987656</v>
      </c>
    </row>
    <row r="31" spans="1:11">
      <c r="A31" t="s">
        <v>102</v>
      </c>
      <c r="B31" s="76">
        <f>SUM('Histoical Stmt of Cash Flows'!B30,'Histoical Stmt of Cash Flows'!E30,'Histoical Stmt of Cash Flows'!H30)/3</f>
        <v>715.66666666666663</v>
      </c>
      <c r="C31" s="76"/>
      <c r="D31" s="81">
        <f>SUM(B31,'Histoical Stmt of Cash Flows'!B30,'Histoical Stmt of Cash Flows'!E30)/3</f>
        <v>599.22222222222217</v>
      </c>
      <c r="E31" s="29">
        <f>D31</f>
        <v>599.22222222222217</v>
      </c>
      <c r="G31" s="143">
        <f>SUM(D31,B31,'Histoical Stmt of Cash Flows'!B30)/3</f>
        <v>516.96296296296293</v>
      </c>
      <c r="H31" s="29">
        <f>G31</f>
        <v>516.96296296296293</v>
      </c>
      <c r="I31" s="76"/>
      <c r="J31" s="81">
        <f>SUM(G31,D31,B31)/3</f>
        <v>610.61728395061721</v>
      </c>
      <c r="K31" s="29">
        <f>J31</f>
        <v>610.61728395061721</v>
      </c>
    </row>
    <row r="32" spans="1:11">
      <c r="A32" t="s">
        <v>94</v>
      </c>
      <c r="B32" s="76">
        <f>SUM('Histoical Stmt of Cash Flows'!B31,'Histoical Stmt of Cash Flows'!E31,'Histoical Stmt of Cash Flows'!H31)/3</f>
        <v>25</v>
      </c>
      <c r="C32" s="76"/>
      <c r="D32" s="81">
        <f>SUM(B32,'Histoical Stmt of Cash Flows'!B31,'Histoical Stmt of Cash Flows'!E31)/3</f>
        <v>35.333333333333336</v>
      </c>
      <c r="E32" s="29">
        <f>D32+84</f>
        <v>119.33333333333334</v>
      </c>
      <c r="G32" s="143">
        <f>SUM(D32,B32,'Histoical Stmt of Cash Flows'!B31)/3</f>
        <v>44.111111111111114</v>
      </c>
      <c r="H32" s="29">
        <f>G32</f>
        <v>44.111111111111114</v>
      </c>
      <c r="I32" s="76"/>
      <c r="J32" s="143">
        <f>SUM(G32,D32,B32)/3</f>
        <v>34.814814814814817</v>
      </c>
      <c r="K32" s="29">
        <f>J32</f>
        <v>34.814814814814817</v>
      </c>
    </row>
    <row r="33" spans="1:11">
      <c r="A33" s="18" t="s">
        <v>103</v>
      </c>
      <c r="B33" s="75">
        <f>SUM(B25:B32)</f>
        <v>-55.666666666666629</v>
      </c>
      <c r="C33" s="75"/>
      <c r="D33" s="142">
        <f>SUM(D25:D32)</f>
        <v>185.4444444444442</v>
      </c>
      <c r="E33" s="30">
        <f>SUM(E25:E32)</f>
        <v>73.444444444444201</v>
      </c>
      <c r="F33" s="3"/>
      <c r="G33" s="142">
        <f>SUM(G25:G32)</f>
        <v>350.59259259259272</v>
      </c>
      <c r="H33" s="30">
        <f>SUM(H26:H32)</f>
        <v>239.59259259259252</v>
      </c>
      <c r="I33" s="75"/>
      <c r="J33" s="142">
        <f>SUM(J25:J32)</f>
        <v>490.12345679012327</v>
      </c>
      <c r="K33" s="30">
        <f>SUM(K26:K32)</f>
        <v>289.79012345678979</v>
      </c>
    </row>
    <row r="34" spans="1:11">
      <c r="A34" s="1" t="s">
        <v>104</v>
      </c>
      <c r="B34" s="76"/>
      <c r="C34" s="76"/>
      <c r="D34" s="81"/>
      <c r="E34" s="29"/>
      <c r="G34" s="143"/>
      <c r="H34" s="29"/>
      <c r="I34" s="76"/>
      <c r="J34" s="143"/>
      <c r="K34" s="29"/>
    </row>
    <row r="35" spans="1:11">
      <c r="A35" t="s">
        <v>105</v>
      </c>
      <c r="B35" s="76">
        <f>'Proforma Balance Sheet'!B27-'Historical Balance Sheet'!B27</f>
        <v>-279.5</v>
      </c>
      <c r="C35" s="76"/>
      <c r="D35" s="81">
        <f>'Proforma Balance Sheet'!D27-'Proforma Balance Sheet'!B27</f>
        <v>-251.54999999999973</v>
      </c>
      <c r="E35" s="29">
        <f>D35</f>
        <v>-251.54999999999973</v>
      </c>
      <c r="G35" s="143">
        <f>'Proforma Balance Sheet'!G27-'Proforma Balance Sheet'!D27</f>
        <v>-226.39499999999998</v>
      </c>
      <c r="H35" s="29">
        <f>G35</f>
        <v>-226.39499999999998</v>
      </c>
      <c r="I35" s="76"/>
      <c r="J35" s="143">
        <f>'Proforma Balance Sheet'!J27-'Proforma Balance Sheet'!G27</f>
        <v>-203.75549999999998</v>
      </c>
      <c r="K35" s="29">
        <f>J35</f>
        <v>-203.75549999999998</v>
      </c>
    </row>
    <row r="36" spans="1:11">
      <c r="A36" t="s">
        <v>106</v>
      </c>
      <c r="B36" s="76">
        <f>(SUM('Histoical Stmt of Cash Flows'!B35,'Histoical Stmt of Cash Flows'!E35,'Histoical Stmt of Cash Flows'!H35)/3)-243</f>
        <v>-1813.6666666666667</v>
      </c>
      <c r="C36" s="76"/>
      <c r="D36" s="81">
        <f>(SUM(B36,'Histoical Stmt of Cash Flows'!B35,'Histoical Stmt of Cash Flows'!E35)/3)+90</f>
        <v>-1764.5555555555557</v>
      </c>
      <c r="E36" s="29">
        <f>D36</f>
        <v>-1764.5555555555557</v>
      </c>
      <c r="G36" s="81">
        <f>(SUM(D36,B36,'Histoical Stmt of Cash Flows'!B35)/3)+969</f>
        <v>-1129.0740740740744</v>
      </c>
      <c r="H36" s="29">
        <f>G36</f>
        <v>-1129.0740740740744</v>
      </c>
      <c r="I36" s="76"/>
      <c r="J36" s="143">
        <f>(SUM(G36,D36,B36)/3)-991</f>
        <v>-2560.0987654320988</v>
      </c>
      <c r="K36" s="29">
        <f>J36</f>
        <v>-2560.0987654320988</v>
      </c>
    </row>
    <row r="37" spans="1:11">
      <c r="A37" t="s">
        <v>107</v>
      </c>
      <c r="B37" s="76">
        <f>'Proforma Balance Sheet'!B34-'Historical Balance Sheet'!B34</f>
        <v>525.54000000000087</v>
      </c>
      <c r="C37" s="76"/>
      <c r="D37" s="81">
        <f>'Proforma Balance Sheet'!D34-'Proforma Balance Sheet'!B34</f>
        <v>541.30619999999908</v>
      </c>
      <c r="E37" s="29">
        <f>D37</f>
        <v>541.30619999999908</v>
      </c>
      <c r="G37" s="81">
        <f>'Proforma Balance Sheet'!G34-'Proforma Balance Sheet'!D34</f>
        <v>557.5453860000016</v>
      </c>
      <c r="H37" s="29">
        <f>G37</f>
        <v>557.5453860000016</v>
      </c>
      <c r="I37" s="76"/>
      <c r="J37" s="81">
        <f>'Proforma Balance Sheet'!J34-'Proforma Balance Sheet'!G34</f>
        <v>574.27174758000183</v>
      </c>
      <c r="K37" s="29">
        <f>J37</f>
        <v>574.27174758000183</v>
      </c>
    </row>
    <row r="38" spans="1:11">
      <c r="A38" t="s">
        <v>108</v>
      </c>
      <c r="B38" s="76">
        <f>'Proforma Balance Sheet'!B44-'Historical Balance Sheet'!B44</f>
        <v>-298.4900000000016</v>
      </c>
      <c r="C38" s="76"/>
      <c r="D38" s="81">
        <f>'Proforma Balance Sheet'!D44-'Proforma Balance Sheet'!B44</f>
        <v>-301.47490000000107</v>
      </c>
      <c r="E38" s="29">
        <f>D38</f>
        <v>-301.47490000000107</v>
      </c>
      <c r="G38" s="81">
        <f>'Proforma Balance Sheet'!G44-'Proforma Balance Sheet'!D44</f>
        <v>-304.48964899999919</v>
      </c>
      <c r="H38" s="29">
        <f>G38</f>
        <v>-304.48964899999919</v>
      </c>
      <c r="I38" s="76"/>
      <c r="J38" s="81">
        <f>'Proforma Balance Sheet'!J44-'Proforma Balance Sheet'!G44</f>
        <v>-307.53454549000162</v>
      </c>
      <c r="K38" s="29">
        <f>J38</f>
        <v>-307.53454549000162</v>
      </c>
    </row>
    <row r="39" spans="1:11">
      <c r="A39" t="s">
        <v>109</v>
      </c>
      <c r="B39" s="76">
        <f>SUM('Histoical Stmt of Cash Flows'!B38,'Histoical Stmt of Cash Flows'!E38,'Histoical Stmt of Cash Flows'!H38)/3</f>
        <v>588.66666666666663</v>
      </c>
      <c r="C39" s="76"/>
      <c r="D39" s="81">
        <f>SUM(B39,'Histoical Stmt of Cash Flows'!B38,'Histoical Stmt of Cash Flows'!E38)/3</f>
        <v>540.22222222222217</v>
      </c>
      <c r="E39" s="29">
        <f>D39</f>
        <v>540.22222222222217</v>
      </c>
      <c r="G39" s="143">
        <f>SUM(D39,B39,'Histoical Stmt of Cash Flows'!B38)/3</f>
        <v>558.62962962962956</v>
      </c>
      <c r="H39" s="29">
        <f>G39</f>
        <v>558.62962962962956</v>
      </c>
      <c r="I39" s="76"/>
      <c r="J39" s="143">
        <f>SUM(G39,D39,B39)/3</f>
        <v>562.50617283950612</v>
      </c>
      <c r="K39" s="29">
        <f>J39</f>
        <v>562.50617283950612</v>
      </c>
    </row>
    <row r="40" spans="1:11">
      <c r="A40" t="s">
        <v>110</v>
      </c>
      <c r="B40" s="76">
        <f>'Histoical Stmt of Cash Flows'!B39*1.01</f>
        <v>-3349.16</v>
      </c>
      <c r="C40" s="76"/>
      <c r="D40" s="81">
        <f>B40*1.01</f>
        <v>-3382.6515999999997</v>
      </c>
      <c r="E40" s="29">
        <f>D40</f>
        <v>-3382.6515999999997</v>
      </c>
      <c r="G40" s="81">
        <f>SUM(D40,B40,'Histoical Stmt of Cash Flows'!B39)/3</f>
        <v>-3349.2705333333329</v>
      </c>
      <c r="H40" s="29">
        <f>G40</f>
        <v>-3349.2705333333329</v>
      </c>
      <c r="I40" s="76"/>
      <c r="J40" s="81">
        <f>SUM(G40,D40,B40)/3</f>
        <v>-3360.360711111111</v>
      </c>
      <c r="K40" s="29">
        <f>J40</f>
        <v>-3360.360711111111</v>
      </c>
    </row>
    <row r="41" spans="1:11">
      <c r="A41" t="s">
        <v>94</v>
      </c>
      <c r="B41" s="76">
        <f>SUM('Histoical Stmt of Cash Flows'!B40,'Histoical Stmt of Cash Flows'!E40,'Histoical Stmt of Cash Flows'!H40)/3</f>
        <v>-124.66666666666667</v>
      </c>
      <c r="C41" s="76"/>
      <c r="D41" s="81">
        <f>SUM(B41,'Histoical Stmt of Cash Flows'!B40,'Histoical Stmt of Cash Flows'!E40)/3</f>
        <v>-125.8888888888889</v>
      </c>
      <c r="E41" s="29">
        <f>D41</f>
        <v>-125.8888888888889</v>
      </c>
      <c r="G41" s="143">
        <f>SUM(D41,B41,'Histoical Stmt of Cash Flows'!B40)/3</f>
        <v>-149.18518518518519</v>
      </c>
      <c r="H41" s="29">
        <f>G41</f>
        <v>-149.18518518518519</v>
      </c>
      <c r="I41" s="76"/>
      <c r="J41" s="143">
        <f>SUM(G41,D41,B41)/3</f>
        <v>-133.24691358024691</v>
      </c>
      <c r="K41" s="29">
        <f>J41</f>
        <v>-133.24691358024691</v>
      </c>
    </row>
    <row r="42" spans="1:11">
      <c r="A42" t="s">
        <v>111</v>
      </c>
      <c r="B42" s="75">
        <f>SUM(B35:B41)</f>
        <v>-4751.2766666666676</v>
      </c>
      <c r="C42" s="75"/>
      <c r="D42" s="82">
        <f>SUM(D35:D41)</f>
        <v>-4744.5925222222231</v>
      </c>
      <c r="E42" s="30">
        <f>SUM(E35:E41)</f>
        <v>-4744.5925222222231</v>
      </c>
      <c r="F42" s="3"/>
      <c r="G42" s="82">
        <f>SUM(G35:G41)</f>
        <v>-4042.2394259629605</v>
      </c>
      <c r="H42" s="30">
        <f>SUM(H35:H41)</f>
        <v>-4042.2394259629605</v>
      </c>
      <c r="I42" s="75"/>
      <c r="J42" s="82">
        <f>SUM(J34:J41)</f>
        <v>-5428.2185151939502</v>
      </c>
      <c r="K42" s="30">
        <f>SUM(K35:K41)</f>
        <v>-5428.2185151939502</v>
      </c>
    </row>
    <row r="43" spans="1:11">
      <c r="A43" t="s">
        <v>112</v>
      </c>
      <c r="B43" s="76">
        <f>'Histoical Stmt of Cash Flows'!B42*('Proforma Stmt of Cash Flows'!$N$9+1)</f>
        <v>-2</v>
      </c>
      <c r="C43" s="76"/>
      <c r="D43" s="81">
        <v>-2</v>
      </c>
      <c r="E43" s="29">
        <f>D43</f>
        <v>-2</v>
      </c>
      <c r="G43" s="81">
        <v>-2</v>
      </c>
      <c r="H43" s="29">
        <v>-2</v>
      </c>
      <c r="I43" s="76"/>
      <c r="J43" s="81">
        <v>-2</v>
      </c>
      <c r="K43" s="29">
        <f>J43</f>
        <v>-2</v>
      </c>
    </row>
    <row r="44" spans="1:11">
      <c r="A44" t="s">
        <v>113</v>
      </c>
      <c r="B44" s="75">
        <f>B24+B33+B42</f>
        <v>1027.7339666666603</v>
      </c>
      <c r="C44" s="75"/>
      <c r="D44" s="82">
        <f>SUM(D24,D33,D42)</f>
        <v>1206.9137817222145</v>
      </c>
      <c r="E44" s="30">
        <f>SUM(E24,E33,E42)</f>
        <v>1140.5551217510019</v>
      </c>
      <c r="F44" s="3"/>
      <c r="G44" s="82">
        <f>SUM(G24,G33,G42)</f>
        <v>2150.4716125221253</v>
      </c>
      <c r="H44" s="30">
        <f>SUM(H24,H33,H42)</f>
        <v>2108.8930955986639</v>
      </c>
      <c r="I44" s="75"/>
      <c r="J44" s="82">
        <f>SUM(J24,J33,J42)</f>
        <v>907.66579310705401</v>
      </c>
      <c r="K44" s="23">
        <f>SUM(K24+K33+K42)</f>
        <v>775.54634816024645</v>
      </c>
    </row>
    <row r="45" spans="1:11">
      <c r="A45" t="s">
        <v>114</v>
      </c>
      <c r="B45" s="144">
        <f>'Historical Balance Sheet'!B7</f>
        <v>2353</v>
      </c>
      <c r="C45" s="103"/>
      <c r="D45" s="81">
        <f>'Proforma Balance Sheet'!B7</f>
        <v>3381</v>
      </c>
      <c r="E45" s="29">
        <f>'Proforma Balance Sheet'!B7</f>
        <v>3381</v>
      </c>
      <c r="G45" s="81">
        <f>'Proforma Balance Sheet'!D7</f>
        <v>4588</v>
      </c>
      <c r="H45" s="29">
        <f>'Proforma Balance Sheet'!E7</f>
        <v>4522</v>
      </c>
      <c r="I45" s="76"/>
      <c r="J45" s="81">
        <f>'Proforma Balance Sheet'!G7</f>
        <v>6738</v>
      </c>
      <c r="K45" s="29">
        <f>'Proforma Balance Sheet'!H7</f>
        <v>6631</v>
      </c>
    </row>
    <row r="46" spans="1:11" ht="17.100000000000001" thickBot="1">
      <c r="A46" t="s">
        <v>115</v>
      </c>
      <c r="B46" s="137">
        <f>'Proforma Balance Sheet'!B7</f>
        <v>3381</v>
      </c>
      <c r="C46" s="135"/>
      <c r="D46" s="136">
        <f>'Proforma Balance Sheet'!D7</f>
        <v>4588</v>
      </c>
      <c r="E46" s="26">
        <f>'Proforma Balance Sheet'!E7</f>
        <v>4522</v>
      </c>
      <c r="F46" s="135"/>
      <c r="G46" s="136">
        <f>'Proforma Balance Sheet'!G7</f>
        <v>6738</v>
      </c>
      <c r="H46" s="26">
        <f>'Proforma Balance Sheet'!H7</f>
        <v>6631</v>
      </c>
      <c r="I46" s="135"/>
      <c r="J46" s="136">
        <f>'Proforma Balance Sheet'!J7</f>
        <v>7646</v>
      </c>
      <c r="K46" s="26">
        <f>'Proforma Balance Sheet'!K7</f>
        <v>7407</v>
      </c>
    </row>
    <row r="47" spans="1:11" ht="17.100000000000001" thickTop="1"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>
      <c r="B48" s="12"/>
      <c r="D48" s="11"/>
      <c r="G48" s="11"/>
      <c r="J48" s="11"/>
    </row>
  </sheetData>
  <mergeCells count="8">
    <mergeCell ref="D6:E6"/>
    <mergeCell ref="J6:K6"/>
    <mergeCell ref="G6:H6"/>
    <mergeCell ref="A1:L1"/>
    <mergeCell ref="A2:L2"/>
    <mergeCell ref="A3:L3"/>
    <mergeCell ref="A4:L4"/>
    <mergeCell ref="B5:L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1BE05-04FF-4141-879E-BB2857F98E6C}">
  <dimension ref="A1:M53"/>
  <sheetViews>
    <sheetView zoomScale="82" workbookViewId="0">
      <selection activeCell="A14" sqref="A14"/>
    </sheetView>
  </sheetViews>
  <sheetFormatPr defaultColWidth="8.875" defaultRowHeight="15.95"/>
  <cols>
    <col min="1" max="1" width="32.625" bestFit="1" customWidth="1"/>
    <col min="2" max="2" width="19.625" customWidth="1"/>
    <col min="3" max="3" width="25.125" customWidth="1"/>
    <col min="4" max="4" width="26" customWidth="1"/>
    <col min="5" max="5" width="21.125" customWidth="1"/>
    <col min="6" max="6" width="20.375" customWidth="1"/>
    <col min="7" max="7" width="15.625" customWidth="1"/>
    <col min="8" max="8" width="21.375" customWidth="1"/>
    <col min="9" max="9" width="18.625" customWidth="1"/>
    <col min="10" max="10" width="14.5" customWidth="1"/>
    <col min="11" max="11" width="26" bestFit="1" customWidth="1"/>
    <col min="12" max="12" width="13.375" customWidth="1"/>
    <col min="13" max="13" width="14.125" bestFit="1" customWidth="1"/>
    <col min="14" max="14" width="21.625" customWidth="1"/>
    <col min="15" max="15" width="11.5" customWidth="1"/>
    <col min="16" max="16" width="16" customWidth="1"/>
    <col min="17" max="17" width="20.625" customWidth="1"/>
    <col min="18" max="18" width="12.875" customWidth="1"/>
    <col min="19" max="19" width="18.125" customWidth="1"/>
  </cols>
  <sheetData>
    <row r="1" spans="1:13">
      <c r="B1" t="s">
        <v>159</v>
      </c>
      <c r="C1" s="11">
        <v>45760</v>
      </c>
      <c r="D1" s="39" t="s">
        <v>160</v>
      </c>
      <c r="E1" s="39" t="s">
        <v>161</v>
      </c>
      <c r="F1" s="39" t="s">
        <v>162</v>
      </c>
      <c r="G1" s="84">
        <f>240000*255</f>
        <v>61200000</v>
      </c>
      <c r="H1" s="39" t="s">
        <v>163</v>
      </c>
      <c r="I1" s="39" t="s">
        <v>164</v>
      </c>
      <c r="J1" s="84">
        <f>600000*255</f>
        <v>153000000</v>
      </c>
      <c r="K1" s="39" t="s">
        <v>165</v>
      </c>
      <c r="L1" s="39" t="s">
        <v>164</v>
      </c>
      <c r="M1" s="84">
        <f>1200000*255</f>
        <v>306000000</v>
      </c>
    </row>
    <row r="2" spans="1:13">
      <c r="C2" s="11">
        <f>C1/260</f>
        <v>176</v>
      </c>
      <c r="E2" s="39" t="s">
        <v>166</v>
      </c>
      <c r="F2" s="39" t="s">
        <v>167</v>
      </c>
      <c r="G2" s="39"/>
      <c r="H2" s="39" t="s">
        <v>166</v>
      </c>
      <c r="I2" s="39" t="s">
        <v>167</v>
      </c>
      <c r="J2" s="39"/>
      <c r="K2" s="39" t="s">
        <v>166</v>
      </c>
      <c r="L2" s="39" t="s">
        <v>167</v>
      </c>
    </row>
    <row r="3" spans="1:13">
      <c r="C3">
        <v>10</v>
      </c>
      <c r="D3" s="1" t="s">
        <v>168</v>
      </c>
      <c r="E3" s="71">
        <f>G1*F3</f>
        <v>15300000</v>
      </c>
      <c r="F3" s="80">
        <v>0.25</v>
      </c>
      <c r="G3" s="71"/>
      <c r="H3" s="71">
        <f>J1*I3</f>
        <v>38250000</v>
      </c>
      <c r="I3" s="80">
        <v>0.25</v>
      </c>
      <c r="J3" s="71"/>
      <c r="K3" s="71">
        <f>M1*L3</f>
        <v>76500000</v>
      </c>
      <c r="L3" s="102">
        <v>0.25</v>
      </c>
    </row>
    <row r="4" spans="1:13" ht="15.75">
      <c r="A4" s="152" t="s">
        <v>169</v>
      </c>
      <c r="C4" s="79">
        <f>(C1/G1)*20</f>
        <v>1.495424836601307E-2</v>
      </c>
      <c r="D4" s="1" t="s">
        <v>170</v>
      </c>
      <c r="E4" s="76"/>
      <c r="F4" s="76"/>
      <c r="G4" s="76"/>
      <c r="H4" s="76"/>
      <c r="I4" s="76"/>
      <c r="J4" s="76"/>
      <c r="K4" s="76"/>
      <c r="L4" s="76"/>
    </row>
    <row r="5" spans="1:13">
      <c r="A5" s="11">
        <f>NPV('Historical Ratios'!B22,E52,H52,K52)+B10</f>
        <v>229291564.19792467</v>
      </c>
      <c r="D5" t="s">
        <v>171</v>
      </c>
      <c r="E5" s="76">
        <f>G1*F5</f>
        <v>306000</v>
      </c>
      <c r="F5" s="97">
        <f>0.005</f>
        <v>5.0000000000000001E-3</v>
      </c>
      <c r="G5" s="76"/>
      <c r="H5" s="76">
        <f>I5*J1</f>
        <v>765000</v>
      </c>
      <c r="I5" s="98">
        <f>F5</f>
        <v>5.0000000000000001E-3</v>
      </c>
      <c r="J5" s="76"/>
      <c r="K5" s="76">
        <f>M1*L5</f>
        <v>1530000</v>
      </c>
      <c r="L5" s="98">
        <v>5.0000000000000001E-3</v>
      </c>
    </row>
    <row r="6" spans="1:13" ht="15.75">
      <c r="A6" s="152" t="s">
        <v>172</v>
      </c>
      <c r="D6" t="s">
        <v>173</v>
      </c>
      <c r="E6" s="76">
        <f>G1*F6</f>
        <v>915199.99999999988</v>
      </c>
      <c r="F6" s="97">
        <f>C4</f>
        <v>1.495424836601307E-2</v>
      </c>
      <c r="G6" s="76"/>
      <c r="H6" s="76">
        <f>I6*J1</f>
        <v>4576000</v>
      </c>
      <c r="I6" s="98">
        <f>F6*2</f>
        <v>2.9908496732026141E-2</v>
      </c>
      <c r="J6" s="76"/>
      <c r="K6" s="76">
        <f>M1*L6</f>
        <v>18304000</v>
      </c>
      <c r="L6" s="98">
        <f>I6*2</f>
        <v>5.9816993464052282E-2</v>
      </c>
    </row>
    <row r="7" spans="1:13">
      <c r="A7" s="139">
        <f>IRR(B10:B13)</f>
        <v>0.76842707266613086</v>
      </c>
      <c r="D7" t="s">
        <v>174</v>
      </c>
      <c r="E7" s="88">
        <f>E5+E6</f>
        <v>1221200</v>
      </c>
      <c r="F7" s="100">
        <f>F5+F6</f>
        <v>1.9954248366013071E-2</v>
      </c>
      <c r="G7" s="88"/>
      <c r="H7" s="88">
        <f>H5+H6</f>
        <v>5341000</v>
      </c>
      <c r="I7" s="99">
        <f>SUM(I5:I6)</f>
        <v>3.4908496732026138E-2</v>
      </c>
      <c r="J7" s="88"/>
      <c r="K7" s="88">
        <f>L7*M1</f>
        <v>19834000</v>
      </c>
      <c r="L7" s="99">
        <f>SUM(L5:L6)</f>
        <v>6.4816993464052286E-2</v>
      </c>
    </row>
    <row r="8" spans="1:13">
      <c r="D8" s="1" t="s">
        <v>175</v>
      </c>
      <c r="E8" s="76"/>
      <c r="F8" s="76"/>
      <c r="G8" s="76"/>
      <c r="H8" s="76"/>
      <c r="I8" s="76"/>
      <c r="J8" s="76"/>
      <c r="K8" s="76"/>
      <c r="L8" s="76"/>
    </row>
    <row r="9" spans="1:13" ht="15.75">
      <c r="A9" s="152" t="s">
        <v>176</v>
      </c>
      <c r="D9" t="s">
        <v>177</v>
      </c>
      <c r="E9" s="76">
        <v>150000</v>
      </c>
      <c r="F9" s="76"/>
      <c r="G9" s="76"/>
      <c r="H9" s="76">
        <v>150000</v>
      </c>
      <c r="I9" s="76"/>
      <c r="J9" s="76"/>
      <c r="K9" s="76">
        <v>150000</v>
      </c>
      <c r="L9" s="76"/>
    </row>
    <row r="10" spans="1:13">
      <c r="A10">
        <v>2020</v>
      </c>
      <c r="B10" s="71">
        <f>-150000000</f>
        <v>-150000000</v>
      </c>
      <c r="D10" t="s">
        <v>178</v>
      </c>
      <c r="E10" s="76">
        <f>E6*0.2</f>
        <v>183040</v>
      </c>
      <c r="F10" s="76"/>
      <c r="G10" s="76"/>
      <c r="H10" s="76">
        <f>H6*0.2</f>
        <v>915200</v>
      </c>
      <c r="I10" s="76"/>
      <c r="J10" s="76"/>
      <c r="K10" s="76">
        <f>K6*0.2</f>
        <v>3660800</v>
      </c>
      <c r="L10" s="76"/>
    </row>
    <row r="11" spans="1:13">
      <c r="A11">
        <v>2021</v>
      </c>
      <c r="B11" s="76">
        <f>E52</f>
        <v>87054100</v>
      </c>
      <c r="D11" t="s">
        <v>179</v>
      </c>
      <c r="E11" s="76">
        <f>45760*0.3</f>
        <v>13728</v>
      </c>
      <c r="F11" s="76"/>
      <c r="G11" s="76"/>
      <c r="H11" s="76">
        <f>45670*0.3</f>
        <v>13701</v>
      </c>
      <c r="I11" s="76"/>
      <c r="J11" s="76"/>
      <c r="K11" s="76">
        <f>45670*0.3</f>
        <v>13701</v>
      </c>
      <c r="L11" s="76"/>
    </row>
    <row r="12" spans="1:13">
      <c r="A12">
        <v>2022</v>
      </c>
      <c r="B12" s="76">
        <f>H52</f>
        <v>175760030.00000003</v>
      </c>
      <c r="D12" t="s">
        <v>180</v>
      </c>
      <c r="E12" s="76">
        <v>50000</v>
      </c>
      <c r="F12" s="76"/>
      <c r="G12" s="76"/>
      <c r="H12" s="76">
        <f>50000*3</f>
        <v>150000</v>
      </c>
      <c r="I12" s="76"/>
      <c r="J12" s="76"/>
      <c r="K12" s="76">
        <f>50000*3*2</f>
        <v>300000</v>
      </c>
      <c r="L12" s="76"/>
    </row>
    <row r="13" spans="1:13">
      <c r="A13">
        <v>2023</v>
      </c>
      <c r="B13" s="76">
        <f>K52</f>
        <v>246503330.00000012</v>
      </c>
      <c r="D13" t="s">
        <v>181</v>
      </c>
      <c r="E13" s="76">
        <f>(550*12)*0.3</f>
        <v>1980</v>
      </c>
      <c r="F13" s="76"/>
      <c r="G13" s="76"/>
      <c r="H13" s="76">
        <f>E13*3</f>
        <v>5940</v>
      </c>
      <c r="I13" s="76"/>
      <c r="J13" s="76"/>
      <c r="K13" s="76">
        <f>H13*2</f>
        <v>11880</v>
      </c>
      <c r="L13" s="76"/>
    </row>
    <row r="14" spans="1:13">
      <c r="D14" t="s">
        <v>182</v>
      </c>
      <c r="E14" s="76">
        <v>100000</v>
      </c>
      <c r="F14" s="76"/>
      <c r="G14" s="76"/>
      <c r="H14" s="76">
        <f>E14*3</f>
        <v>300000</v>
      </c>
      <c r="I14" s="76"/>
      <c r="J14" s="76"/>
      <c r="K14" s="76">
        <f>H14*2</f>
        <v>600000</v>
      </c>
      <c r="L14" s="76"/>
    </row>
    <row r="15" spans="1:13">
      <c r="D15" t="s">
        <v>183</v>
      </c>
      <c r="E15" s="76">
        <f>5000*0.3</f>
        <v>1500</v>
      </c>
      <c r="F15" s="76"/>
      <c r="G15" s="76"/>
      <c r="H15" s="76">
        <f>E15*3</f>
        <v>4500</v>
      </c>
      <c r="I15" s="76"/>
      <c r="J15" s="76"/>
      <c r="K15" s="76">
        <f>H15*2</f>
        <v>9000</v>
      </c>
      <c r="L15" s="76"/>
    </row>
    <row r="16" spans="1:13">
      <c r="D16" t="s">
        <v>184</v>
      </c>
      <c r="E16" s="76">
        <f>20000*0.3</f>
        <v>6000</v>
      </c>
      <c r="F16" s="76"/>
      <c r="G16" s="76"/>
      <c r="H16" s="76">
        <f>E16*3</f>
        <v>18000</v>
      </c>
      <c r="I16" s="76"/>
      <c r="J16" s="76"/>
      <c r="K16" s="76">
        <f>H16*2</f>
        <v>36000</v>
      </c>
      <c r="L16" s="76"/>
    </row>
    <row r="17" spans="1:13">
      <c r="D17" t="s">
        <v>185</v>
      </c>
      <c r="E17" s="76">
        <v>1000000</v>
      </c>
      <c r="F17" s="76"/>
      <c r="G17" s="76"/>
      <c r="H17" s="76">
        <f>E17*3</f>
        <v>3000000</v>
      </c>
      <c r="I17" s="76"/>
      <c r="J17" s="76"/>
      <c r="K17" s="76">
        <f>H17*2</f>
        <v>6000000</v>
      </c>
      <c r="L17" s="76"/>
    </row>
    <row r="18" spans="1:13">
      <c r="D18" t="s">
        <v>186</v>
      </c>
      <c r="E18" s="76">
        <v>500000</v>
      </c>
      <c r="F18" s="76"/>
      <c r="G18" s="76"/>
      <c r="H18" s="76">
        <f>E18*3</f>
        <v>1500000</v>
      </c>
      <c r="I18" s="76"/>
      <c r="J18" s="76"/>
      <c r="K18" s="76">
        <f>H18*2</f>
        <v>3000000</v>
      </c>
      <c r="L18" s="76"/>
    </row>
    <row r="19" spans="1:13">
      <c r="D19" t="s">
        <v>173</v>
      </c>
      <c r="E19" s="76">
        <f>(10*45760)*0.3</f>
        <v>137280</v>
      </c>
      <c r="F19" s="76"/>
      <c r="G19" s="76"/>
      <c r="H19" s="76">
        <f>E19*3</f>
        <v>411840</v>
      </c>
      <c r="I19" s="76"/>
      <c r="J19" s="76"/>
      <c r="K19" s="76">
        <f>H19*2</f>
        <v>823680</v>
      </c>
      <c r="L19" s="76"/>
    </row>
    <row r="20" spans="1:13">
      <c r="D20" t="s">
        <v>187</v>
      </c>
      <c r="E20" s="95">
        <f>SUM(E7:E19)</f>
        <v>3364728</v>
      </c>
      <c r="F20" s="95"/>
      <c r="G20" s="95"/>
      <c r="H20" s="95">
        <f>SUM(H7:H19)</f>
        <v>11810181</v>
      </c>
      <c r="I20" s="95"/>
      <c r="J20" s="95"/>
      <c r="K20" s="95">
        <f>SUM(K7:K19)</f>
        <v>34439061</v>
      </c>
      <c r="L20" s="95"/>
    </row>
    <row r="21" spans="1:13" ht="17.100000000000001" thickBot="1">
      <c r="D21" t="s">
        <v>188</v>
      </c>
      <c r="E21" s="85">
        <f>E3-E20</f>
        <v>11935272</v>
      </c>
      <c r="F21" s="85"/>
      <c r="G21" s="85"/>
      <c r="H21" s="85">
        <f>H3-H20</f>
        <v>26439819</v>
      </c>
      <c r="I21" s="85"/>
      <c r="J21" s="85"/>
      <c r="K21" s="85">
        <f>K3-K20</f>
        <v>42060939</v>
      </c>
      <c r="L21" s="96"/>
    </row>
    <row r="22" spans="1:13" ht="17.100000000000001" thickTop="1"/>
    <row r="24" spans="1:13" ht="15.75"/>
    <row r="25" spans="1:13" ht="15.75"/>
    <row r="26" spans="1:13" ht="15.75">
      <c r="A26" s="13"/>
      <c r="J26" s="76"/>
    </row>
    <row r="27" spans="1:13" ht="15.75">
      <c r="J27" s="76"/>
    </row>
    <row r="28" spans="1:13" ht="15.75">
      <c r="J28" s="76"/>
    </row>
    <row r="30" spans="1:13">
      <c r="A30" s="12"/>
      <c r="D30" s="39" t="s">
        <v>189</v>
      </c>
      <c r="E30" s="39" t="s">
        <v>161</v>
      </c>
      <c r="F30" s="39" t="s">
        <v>162</v>
      </c>
      <c r="G30" s="84">
        <f>60000*255</f>
        <v>15300000</v>
      </c>
      <c r="H30" s="39" t="s">
        <v>163</v>
      </c>
      <c r="I30" s="39" t="s">
        <v>164</v>
      </c>
      <c r="J30" s="84">
        <f>150000*255</f>
        <v>38250000</v>
      </c>
      <c r="K30" s="39" t="s">
        <v>165</v>
      </c>
      <c r="L30" s="39" t="s">
        <v>164</v>
      </c>
      <c r="M30" s="84">
        <f>300000*255</f>
        <v>76500000</v>
      </c>
    </row>
    <row r="31" spans="1:13">
      <c r="C31" s="97"/>
      <c r="E31" s="39" t="s">
        <v>166</v>
      </c>
      <c r="F31" s="39" t="s">
        <v>167</v>
      </c>
      <c r="G31" s="39"/>
      <c r="H31" s="39" t="s">
        <v>166</v>
      </c>
      <c r="I31" s="39" t="s">
        <v>167</v>
      </c>
      <c r="J31" s="39"/>
      <c r="K31" s="39" t="s">
        <v>166</v>
      </c>
      <c r="L31" s="39" t="s">
        <v>167</v>
      </c>
    </row>
    <row r="32" spans="1:13">
      <c r="D32" s="1" t="s">
        <v>168</v>
      </c>
      <c r="E32" s="71">
        <f>G30*F32</f>
        <v>153000000</v>
      </c>
      <c r="F32" s="71">
        <v>10</v>
      </c>
      <c r="G32" s="71"/>
      <c r="H32" s="71">
        <f>J30*I32</f>
        <v>382500000</v>
      </c>
      <c r="I32" s="71">
        <v>10</v>
      </c>
      <c r="J32" s="71"/>
      <c r="K32" s="71">
        <f>M30*L32</f>
        <v>765000000</v>
      </c>
      <c r="L32" s="76">
        <v>10</v>
      </c>
    </row>
    <row r="33" spans="4:13">
      <c r="D33" s="1" t="s">
        <v>170</v>
      </c>
      <c r="E33" s="76"/>
      <c r="F33" s="76"/>
      <c r="G33" s="76"/>
      <c r="H33" s="76"/>
      <c r="I33" s="76"/>
      <c r="J33" s="76"/>
      <c r="K33" s="76"/>
      <c r="L33" s="76"/>
    </row>
    <row r="34" spans="4:13">
      <c r="D34" t="s">
        <v>171</v>
      </c>
      <c r="E34" s="76">
        <f>G30*F34</f>
        <v>15300000</v>
      </c>
      <c r="F34" s="76">
        <v>1</v>
      </c>
      <c r="G34" s="76"/>
      <c r="H34" s="76">
        <f>I34*J30</f>
        <v>38250000</v>
      </c>
      <c r="I34" s="76">
        <f>F34</f>
        <v>1</v>
      </c>
      <c r="J34" s="76"/>
      <c r="K34" s="76">
        <f>M30*L34</f>
        <v>76500000</v>
      </c>
      <c r="L34" s="76">
        <f>I34</f>
        <v>1</v>
      </c>
      <c r="M34" t="s">
        <v>190</v>
      </c>
    </row>
    <row r="35" spans="4:13">
      <c r="D35" t="s">
        <v>173</v>
      </c>
      <c r="E35" s="76">
        <f>G30*F35</f>
        <v>50336000</v>
      </c>
      <c r="F35" s="80">
        <f>(45760*50*22)/G30</f>
        <v>3.2899346405228758</v>
      </c>
      <c r="G35" s="76"/>
      <c r="H35" s="76">
        <f>I35*J30</f>
        <v>157299999.99999997</v>
      </c>
      <c r="I35" s="80">
        <f>F35*1.25</f>
        <v>4.1124183006535944</v>
      </c>
      <c r="J35" s="76"/>
      <c r="K35" s="76">
        <f>M30*L35</f>
        <v>393249999.99999994</v>
      </c>
      <c r="L35" s="76">
        <f>I35*1.25</f>
        <v>5.140522875816993</v>
      </c>
    </row>
    <row r="36" spans="4:13">
      <c r="D36" t="s">
        <v>174</v>
      </c>
      <c r="E36" s="88">
        <f>E34+E35</f>
        <v>65636000</v>
      </c>
      <c r="F36" s="94">
        <f>F34+F35</f>
        <v>4.2899346405228762</v>
      </c>
      <c r="G36" s="88"/>
      <c r="H36" s="88">
        <f>H34+H35</f>
        <v>195549999.99999997</v>
      </c>
      <c r="I36" s="94">
        <f>I34+I35</f>
        <v>5.1124183006535944</v>
      </c>
      <c r="J36" s="88"/>
      <c r="K36" s="88">
        <f>L36*M30</f>
        <v>469749999.99999994</v>
      </c>
      <c r="L36" s="94">
        <f>L34+L35</f>
        <v>6.140522875816993</v>
      </c>
    </row>
    <row r="37" spans="4:13">
      <c r="D37" s="1" t="s">
        <v>175</v>
      </c>
      <c r="E37" s="76"/>
      <c r="F37" s="76"/>
      <c r="G37" s="76"/>
      <c r="H37" s="76"/>
      <c r="I37" s="76"/>
      <c r="J37" s="76"/>
      <c r="K37" s="76"/>
      <c r="L37" s="76"/>
    </row>
    <row r="38" spans="4:13">
      <c r="D38" t="s">
        <v>177</v>
      </c>
      <c r="E38" s="76">
        <v>150000</v>
      </c>
      <c r="F38" s="76"/>
      <c r="G38" s="76"/>
      <c r="H38" s="76">
        <v>150000</v>
      </c>
      <c r="I38" s="76"/>
      <c r="J38" s="76"/>
      <c r="K38" s="76">
        <v>150000</v>
      </c>
      <c r="L38" s="76"/>
    </row>
    <row r="39" spans="4:13">
      <c r="D39" t="s">
        <v>178</v>
      </c>
      <c r="E39" s="76">
        <f>E35*0.2</f>
        <v>10067200</v>
      </c>
      <c r="F39" s="76"/>
      <c r="G39" s="76"/>
      <c r="H39" s="76">
        <f>H35*0.2</f>
        <v>31459999.999999996</v>
      </c>
      <c r="I39" s="76"/>
      <c r="J39" s="76"/>
      <c r="K39" s="76">
        <f>K35*0.2</f>
        <v>78649999.999999985</v>
      </c>
      <c r="L39" s="76"/>
    </row>
    <row r="40" spans="4:13">
      <c r="D40" t="s">
        <v>179</v>
      </c>
      <c r="E40" s="76">
        <f>45760*0.7</f>
        <v>32031.999999999996</v>
      </c>
      <c r="F40" s="76"/>
      <c r="G40" s="76"/>
      <c r="H40" s="76">
        <f>45670*0.7</f>
        <v>31968.999999999996</v>
      </c>
      <c r="I40" s="76"/>
      <c r="J40" s="76"/>
      <c r="K40" s="76">
        <f>45670*0.7</f>
        <v>31968.999999999996</v>
      </c>
      <c r="L40" s="76"/>
    </row>
    <row r="41" spans="4:13">
      <c r="D41" t="s">
        <v>180</v>
      </c>
      <c r="E41" s="76">
        <v>50000</v>
      </c>
      <c r="F41" s="76"/>
      <c r="G41" s="76"/>
      <c r="H41" s="76">
        <f>50000*3</f>
        <v>150000</v>
      </c>
      <c r="I41" s="76"/>
      <c r="J41" s="76"/>
      <c r="K41" s="76">
        <f>50000*6</f>
        <v>300000</v>
      </c>
      <c r="L41" s="103"/>
    </row>
    <row r="42" spans="4:13">
      <c r="D42" t="s">
        <v>181</v>
      </c>
      <c r="E42" s="76">
        <f>(550*12)*0.7</f>
        <v>4620</v>
      </c>
      <c r="F42" s="76"/>
      <c r="G42" s="76"/>
      <c r="H42" s="76">
        <f>E42*3</f>
        <v>13860</v>
      </c>
      <c r="I42" s="76"/>
      <c r="J42" s="76"/>
      <c r="K42" s="76">
        <f>H42*2</f>
        <v>27720</v>
      </c>
      <c r="L42" s="103"/>
    </row>
    <row r="43" spans="4:13">
      <c r="D43" t="s">
        <v>182</v>
      </c>
      <c r="E43" s="76">
        <v>100000</v>
      </c>
      <c r="F43" s="76"/>
      <c r="G43" s="76"/>
      <c r="H43" s="76">
        <f>E43*3</f>
        <v>300000</v>
      </c>
      <c r="I43" s="76"/>
      <c r="J43" s="76"/>
      <c r="K43" s="76">
        <f>H43*2</f>
        <v>600000</v>
      </c>
      <c r="L43" s="103"/>
    </row>
    <row r="44" spans="4:13">
      <c r="D44" t="s">
        <v>183</v>
      </c>
      <c r="E44" s="76">
        <f>10000*0.7</f>
        <v>7000</v>
      </c>
      <c r="F44" s="76"/>
      <c r="G44" s="76"/>
      <c r="H44" s="76">
        <f>E44*3</f>
        <v>21000</v>
      </c>
      <c r="I44" s="76"/>
      <c r="J44" s="76"/>
      <c r="K44" s="76">
        <f>H44*2</f>
        <v>42000</v>
      </c>
      <c r="L44" s="103"/>
    </row>
    <row r="45" spans="4:13">
      <c r="D45" t="s">
        <v>184</v>
      </c>
      <c r="E45" s="76">
        <f>20000*0.7</f>
        <v>14000</v>
      </c>
      <c r="F45" s="76"/>
      <c r="G45" s="76"/>
      <c r="H45" s="76">
        <f>E45*3</f>
        <v>42000</v>
      </c>
      <c r="I45" s="76"/>
      <c r="J45" s="76"/>
      <c r="K45" s="76">
        <f>H45*2</f>
        <v>84000</v>
      </c>
      <c r="L45" s="103"/>
    </row>
    <row r="46" spans="4:13">
      <c r="D46" t="s">
        <v>185</v>
      </c>
      <c r="E46" s="76">
        <v>1000000</v>
      </c>
      <c r="F46" s="76"/>
      <c r="G46" s="76"/>
      <c r="H46" s="76">
        <f>E46*3</f>
        <v>3000000</v>
      </c>
      <c r="I46" s="76"/>
      <c r="J46" s="76"/>
      <c r="K46" s="76">
        <f>H46*2</f>
        <v>6000000</v>
      </c>
      <c r="L46" s="103"/>
    </row>
    <row r="47" spans="4:13">
      <c r="D47" t="s">
        <v>186</v>
      </c>
      <c r="E47" s="76">
        <v>500000</v>
      </c>
      <c r="F47" s="76"/>
      <c r="G47" s="76"/>
      <c r="H47" s="76">
        <f>E47*3</f>
        <v>1500000</v>
      </c>
      <c r="I47" s="76"/>
      <c r="J47" s="76"/>
      <c r="K47" s="76">
        <f>H47*2</f>
        <v>3000000</v>
      </c>
      <c r="L47" s="103"/>
    </row>
    <row r="48" spans="4:13">
      <c r="D48" t="s">
        <v>173</v>
      </c>
      <c r="E48" s="76">
        <f>(10*45760)*0.7</f>
        <v>320320</v>
      </c>
      <c r="F48" s="76"/>
      <c r="G48" s="76"/>
      <c r="H48" s="76">
        <f>E48*3</f>
        <v>960960</v>
      </c>
      <c r="I48" s="76"/>
      <c r="J48" s="76"/>
      <c r="K48" s="76">
        <f>H48*2</f>
        <v>1921920</v>
      </c>
      <c r="L48" s="103"/>
    </row>
    <row r="49" spans="4:12">
      <c r="D49" t="s">
        <v>187</v>
      </c>
      <c r="E49" s="88">
        <f>SUM(E36:E48)</f>
        <v>77881172</v>
      </c>
      <c r="F49" s="88"/>
      <c r="G49" s="88"/>
      <c r="H49" s="88">
        <f>SUM(H36:H48)</f>
        <v>233179788.99999997</v>
      </c>
      <c r="I49" s="88"/>
      <c r="J49" s="88"/>
      <c r="K49" s="88">
        <f>SUM(K36:K48)</f>
        <v>560557608.99999988</v>
      </c>
      <c r="L49" s="103"/>
    </row>
    <row r="50" spans="4:12" ht="17.100000000000001" thickBot="1">
      <c r="D50" t="s">
        <v>188</v>
      </c>
      <c r="E50" s="96">
        <f>E32-E49</f>
        <v>75118828</v>
      </c>
      <c r="F50" s="96"/>
      <c r="G50" s="96"/>
      <c r="H50" s="96">
        <f>H32-H49</f>
        <v>149320211.00000003</v>
      </c>
      <c r="I50" s="96"/>
      <c r="J50" s="96"/>
      <c r="K50" s="96">
        <f>K32-K49</f>
        <v>204442391.00000012</v>
      </c>
      <c r="L50" s="103"/>
    </row>
    <row r="51" spans="4:12" ht="17.100000000000001" thickTop="1">
      <c r="E51" s="76"/>
      <c r="F51" s="76"/>
      <c r="G51" s="76"/>
      <c r="H51" s="76"/>
      <c r="I51" s="76"/>
      <c r="J51" s="76"/>
      <c r="K51" s="76"/>
      <c r="L51" s="103"/>
    </row>
    <row r="52" spans="4:12" ht="17.100000000000001" thickBot="1">
      <c r="D52" t="s">
        <v>191</v>
      </c>
      <c r="E52" s="85">
        <f>E21+E50</f>
        <v>87054100</v>
      </c>
      <c r="F52" s="85"/>
      <c r="G52" s="85"/>
      <c r="H52" s="85">
        <f>H21+H50</f>
        <v>175760030.00000003</v>
      </c>
      <c r="I52" s="85"/>
      <c r="J52" s="85"/>
      <c r="K52" s="85">
        <f>K21+K50</f>
        <v>246503330.00000012</v>
      </c>
      <c r="L52" s="103"/>
    </row>
    <row r="53" spans="4:12" ht="17.100000000000001" thickTop="1">
      <c r="L53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04114-CD66-7F42-A014-1BF2C6C60F85}">
  <dimension ref="A1:K21"/>
  <sheetViews>
    <sheetView zoomScale="88" workbookViewId="0">
      <pane xSplit="1" topLeftCell="B1" activePane="topRight" state="frozen"/>
      <selection pane="topRight" activeCell="F28" sqref="F28"/>
    </sheetView>
  </sheetViews>
  <sheetFormatPr defaultColWidth="11" defaultRowHeight="15.95"/>
  <cols>
    <col min="1" max="1" width="61" customWidth="1"/>
    <col min="2" max="2" width="17.125" customWidth="1"/>
    <col min="3" max="3" width="10.125" customWidth="1"/>
    <col min="4" max="4" width="10.25" customWidth="1"/>
    <col min="5" max="5" width="12.5" customWidth="1"/>
    <col min="6" max="6" width="9.75" customWidth="1"/>
    <col min="7" max="7" width="9.375" customWidth="1"/>
    <col min="8" max="8" width="14" customWidth="1"/>
  </cols>
  <sheetData>
    <row r="1" spans="1:11">
      <c r="A1" s="147" t="s">
        <v>118</v>
      </c>
      <c r="B1" s="147"/>
      <c r="C1" s="147"/>
      <c r="D1" s="147"/>
      <c r="E1" s="147"/>
      <c r="F1" s="147"/>
      <c r="G1" s="147"/>
      <c r="H1" s="147"/>
    </row>
    <row r="2" spans="1:11">
      <c r="A2" s="147" t="s">
        <v>1</v>
      </c>
      <c r="B2" s="147"/>
      <c r="C2" s="147"/>
      <c r="D2" s="147"/>
      <c r="E2" s="147"/>
      <c r="F2" s="147"/>
      <c r="G2" s="147"/>
      <c r="H2" s="147"/>
    </row>
    <row r="3" spans="1:11">
      <c r="A3" s="147" t="s">
        <v>2</v>
      </c>
      <c r="B3" s="147"/>
      <c r="C3" s="147"/>
      <c r="D3" s="147"/>
      <c r="E3" s="147"/>
      <c r="F3" s="147"/>
      <c r="G3" s="147"/>
      <c r="H3" s="147"/>
    </row>
    <row r="4" spans="1:11">
      <c r="A4" s="147" t="s">
        <v>192</v>
      </c>
      <c r="B4" s="147"/>
      <c r="C4" s="147"/>
      <c r="D4" s="147"/>
      <c r="E4" s="147"/>
      <c r="F4" s="147"/>
      <c r="G4" s="147"/>
      <c r="H4" s="147"/>
      <c r="I4" s="147" t="s">
        <v>34</v>
      </c>
      <c r="J4" s="147"/>
      <c r="K4" s="147"/>
    </row>
    <row r="5" spans="1:11">
      <c r="B5" s="146" t="s">
        <v>5</v>
      </c>
      <c r="C5" s="146"/>
      <c r="D5" s="146"/>
      <c r="E5" s="146"/>
      <c r="F5" s="146"/>
      <c r="G5" s="146"/>
      <c r="H5" s="146"/>
    </row>
    <row r="6" spans="1:11">
      <c r="B6" s="27" t="s">
        <v>6</v>
      </c>
      <c r="C6" s="27" t="s">
        <v>7</v>
      </c>
      <c r="D6" s="27" t="s">
        <v>8</v>
      </c>
      <c r="E6" s="27" t="s">
        <v>9</v>
      </c>
      <c r="F6" s="27" t="s">
        <v>7</v>
      </c>
      <c r="G6" s="27" t="s">
        <v>8</v>
      </c>
      <c r="H6" s="27" t="s">
        <v>10</v>
      </c>
      <c r="I6" s="27">
        <v>2019</v>
      </c>
      <c r="J6" s="27">
        <v>2018</v>
      </c>
      <c r="K6" s="27">
        <v>2017</v>
      </c>
    </row>
    <row r="8" spans="1:11">
      <c r="A8" s="1" t="s">
        <v>193</v>
      </c>
      <c r="B8" s="11">
        <v>36709</v>
      </c>
      <c r="C8" s="46">
        <f>B8-E8</f>
        <v>-5093</v>
      </c>
      <c r="D8" s="47">
        <f>C8/E8</f>
        <v>-0.12183627577627865</v>
      </c>
      <c r="E8" s="11">
        <v>41802</v>
      </c>
      <c r="F8" s="46">
        <f>E8-H8</f>
        <v>1268</v>
      </c>
      <c r="G8" s="47">
        <f>F8/H8</f>
        <v>3.1282380224009476E-2</v>
      </c>
      <c r="H8" s="11">
        <v>40534</v>
      </c>
      <c r="I8" s="47">
        <f>B8/B$8</f>
        <v>1</v>
      </c>
      <c r="J8" s="47">
        <f>E8/E$8</f>
        <v>1</v>
      </c>
      <c r="K8" s="47">
        <f>H8/H$8</f>
        <v>1</v>
      </c>
    </row>
    <row r="9" spans="1:11">
      <c r="A9" t="s">
        <v>194</v>
      </c>
      <c r="C9" s="48"/>
      <c r="D9" s="47"/>
      <c r="F9" s="48"/>
      <c r="G9" s="47"/>
      <c r="I9" s="47"/>
      <c r="J9" s="47"/>
      <c r="K9" s="47"/>
    </row>
    <row r="10" spans="1:11">
      <c r="A10" t="s">
        <v>195</v>
      </c>
      <c r="B10" s="76">
        <v>24339</v>
      </c>
      <c r="C10" s="48">
        <f t="shared" ref="C10:C21" si="0">B10-E10</f>
        <v>-4707</v>
      </c>
      <c r="D10" s="47">
        <f t="shared" ref="D10:D21" si="1">C10/E10</f>
        <v>-0.16205329477380706</v>
      </c>
      <c r="E10" s="76">
        <v>29046</v>
      </c>
      <c r="F10" s="48">
        <f t="shared" ref="F10:F21" si="2">E10-H10</f>
        <v>902</v>
      </c>
      <c r="G10" s="47">
        <f t="shared" ref="G10:G21" si="3">F10/H10</f>
        <v>3.2049459920409321E-2</v>
      </c>
      <c r="H10" s="76">
        <v>28144</v>
      </c>
      <c r="I10" s="47">
        <f t="shared" ref="I10:I19" si="4">B10/B$8</f>
        <v>0.6630254161104906</v>
      </c>
      <c r="J10" s="47">
        <f t="shared" ref="J10:J19" si="5">E10/E$8</f>
        <v>0.69484713650064589</v>
      </c>
      <c r="K10" s="47">
        <f t="shared" ref="K10:K19" si="6">H10/H$8</f>
        <v>0.69433068535056985</v>
      </c>
    </row>
    <row r="11" spans="1:11">
      <c r="A11" t="s">
        <v>14</v>
      </c>
      <c r="B11" s="76">
        <v>5519</v>
      </c>
      <c r="C11" s="48">
        <f t="shared" si="0"/>
        <v>-532</v>
      </c>
      <c r="D11" s="47">
        <f t="shared" si="1"/>
        <v>-8.7919352173194507E-2</v>
      </c>
      <c r="E11" s="76">
        <v>6051</v>
      </c>
      <c r="F11" s="48">
        <f t="shared" si="2"/>
        <v>-36</v>
      </c>
      <c r="G11" s="47">
        <f t="shared" si="3"/>
        <v>-5.9142434696895022E-3</v>
      </c>
      <c r="H11" s="76">
        <v>6087</v>
      </c>
      <c r="I11" s="47">
        <f t="shared" si="4"/>
        <v>0.1503446021411643</v>
      </c>
      <c r="J11" s="47">
        <f t="shared" si="5"/>
        <v>0.14475383952920912</v>
      </c>
      <c r="K11" s="47">
        <f t="shared" si="6"/>
        <v>0.15017022746336409</v>
      </c>
    </row>
    <row r="12" spans="1:11">
      <c r="A12" t="s">
        <v>196</v>
      </c>
      <c r="B12" s="76">
        <v>-1065</v>
      </c>
      <c r="C12" s="48">
        <f t="shared" si="0"/>
        <v>84</v>
      </c>
      <c r="D12" s="47">
        <f t="shared" si="1"/>
        <v>-7.3107049608355096E-2</v>
      </c>
      <c r="E12" s="76">
        <v>-1149</v>
      </c>
      <c r="F12" s="48">
        <f t="shared" si="2"/>
        <v>-186</v>
      </c>
      <c r="G12" s="47">
        <f t="shared" si="3"/>
        <v>0.19314641744548286</v>
      </c>
      <c r="H12" s="76">
        <v>-963</v>
      </c>
      <c r="I12" s="47">
        <f t="shared" si="4"/>
        <v>-2.901195892015582E-2</v>
      </c>
      <c r="J12" s="47">
        <f t="shared" si="5"/>
        <v>-2.7486723123295535E-2</v>
      </c>
      <c r="K12" s="47">
        <f t="shared" si="6"/>
        <v>-2.3757832930379436E-2</v>
      </c>
    </row>
    <row r="13" spans="1:11">
      <c r="A13" t="s">
        <v>197</v>
      </c>
      <c r="B13" s="103">
        <v>357</v>
      </c>
      <c r="C13" s="48">
        <f t="shared" si="0"/>
        <v>-10</v>
      </c>
      <c r="D13" s="47">
        <f t="shared" si="1"/>
        <v>-2.7247956403269755E-2</v>
      </c>
      <c r="E13" s="103">
        <v>367</v>
      </c>
      <c r="F13" s="48">
        <f t="shared" si="2"/>
        <v>51</v>
      </c>
      <c r="G13" s="47">
        <f t="shared" si="3"/>
        <v>0.16139240506329114</v>
      </c>
      <c r="H13" s="103">
        <v>316</v>
      </c>
      <c r="I13" s="47">
        <f t="shared" si="4"/>
        <v>9.7251355253480075E-3</v>
      </c>
      <c r="J13" s="47">
        <f t="shared" si="5"/>
        <v>8.7794842352040565E-3</v>
      </c>
      <c r="K13" s="47">
        <f t="shared" si="6"/>
        <v>7.7959244091380074E-3</v>
      </c>
    </row>
    <row r="14" spans="1:11">
      <c r="A14" t="s">
        <v>198</v>
      </c>
      <c r="B14" s="75">
        <f>SUM(B10:B13)</f>
        <v>29150</v>
      </c>
      <c r="C14" s="49">
        <f t="shared" si="0"/>
        <v>-5165</v>
      </c>
      <c r="D14" s="50">
        <f t="shared" si="1"/>
        <v>-0.15051726650152994</v>
      </c>
      <c r="E14" s="75">
        <f>SUM(E10:E13)</f>
        <v>34315</v>
      </c>
      <c r="F14" s="49">
        <f t="shared" si="2"/>
        <v>731</v>
      </c>
      <c r="G14" s="50">
        <f t="shared" si="3"/>
        <v>2.17663172939495E-2</v>
      </c>
      <c r="H14" s="75">
        <f>SUM(H10:H13)</f>
        <v>33584</v>
      </c>
      <c r="I14" s="50">
        <f t="shared" si="4"/>
        <v>0.79408319485684709</v>
      </c>
      <c r="J14" s="50">
        <f t="shared" si="5"/>
        <v>0.8208937371417635</v>
      </c>
      <c r="K14" s="50">
        <f t="shared" si="6"/>
        <v>0.82853900429269256</v>
      </c>
    </row>
    <row r="15" spans="1:11">
      <c r="A15" t="s">
        <v>199</v>
      </c>
      <c r="B15" s="103">
        <v>7559</v>
      </c>
      <c r="C15" s="48">
        <f t="shared" si="0"/>
        <v>72</v>
      </c>
      <c r="D15" s="47">
        <f t="shared" si="1"/>
        <v>9.6166688927474282E-3</v>
      </c>
      <c r="E15" s="103">
        <v>7487</v>
      </c>
      <c r="F15" s="48">
        <f t="shared" si="2"/>
        <v>537</v>
      </c>
      <c r="G15" s="47">
        <f t="shared" si="3"/>
        <v>7.7266187050359716E-2</v>
      </c>
      <c r="H15" s="103">
        <v>6950</v>
      </c>
      <c r="I15" s="47">
        <f t="shared" si="4"/>
        <v>0.20591680514315291</v>
      </c>
      <c r="J15" s="47">
        <f t="shared" si="5"/>
        <v>0.17910626285823644</v>
      </c>
      <c r="K15" s="47">
        <f t="shared" si="6"/>
        <v>0.17146099570730744</v>
      </c>
    </row>
    <row r="16" spans="1:11">
      <c r="A16" t="s">
        <v>200</v>
      </c>
      <c r="B16" s="76">
        <v>1329</v>
      </c>
      <c r="C16" s="48">
        <f t="shared" si="0"/>
        <v>670</v>
      </c>
      <c r="D16" s="47">
        <f t="shared" si="1"/>
        <v>1.0166919575113809</v>
      </c>
      <c r="E16" s="76">
        <v>659</v>
      </c>
      <c r="F16" s="48">
        <f t="shared" si="2"/>
        <v>-4703</v>
      </c>
      <c r="G16" s="47">
        <f t="shared" si="3"/>
        <v>-0.87709809772472958</v>
      </c>
      <c r="H16" s="76">
        <v>5362</v>
      </c>
      <c r="I16" s="47">
        <f t="shared" si="4"/>
        <v>3.6203655779236697E-2</v>
      </c>
      <c r="J16" s="47">
        <f t="shared" si="5"/>
        <v>1.5764795942777857E-2</v>
      </c>
      <c r="K16" s="47">
        <f t="shared" si="6"/>
        <v>0.13228400848670252</v>
      </c>
    </row>
    <row r="17" spans="1:11">
      <c r="A17" t="s">
        <v>201</v>
      </c>
      <c r="B17" s="75">
        <f>B15-B16</f>
        <v>6230</v>
      </c>
      <c r="C17" s="49">
        <f t="shared" si="0"/>
        <v>-598</v>
      </c>
      <c r="D17" s="50">
        <f t="shared" si="1"/>
        <v>-8.758055067369655E-2</v>
      </c>
      <c r="E17" s="75">
        <f>E15-E16</f>
        <v>6828</v>
      </c>
      <c r="F17" s="49">
        <f t="shared" si="2"/>
        <v>5240</v>
      </c>
      <c r="G17" s="50">
        <f t="shared" si="3"/>
        <v>3.2997481108312341</v>
      </c>
      <c r="H17" s="75">
        <f>H15-H16</f>
        <v>1588</v>
      </c>
      <c r="I17" s="50">
        <f t="shared" si="4"/>
        <v>0.16971314936391621</v>
      </c>
      <c r="J17" s="50">
        <f t="shared" si="5"/>
        <v>0.16334146691545859</v>
      </c>
      <c r="K17" s="50">
        <f t="shared" si="6"/>
        <v>3.9176987220604927E-2</v>
      </c>
    </row>
    <row r="18" spans="1:11">
      <c r="A18" t="s">
        <v>202</v>
      </c>
      <c r="B18" s="76">
        <v>87</v>
      </c>
      <c r="C18" s="48">
        <f t="shared" si="0"/>
        <v>24</v>
      </c>
      <c r="D18" s="47">
        <f t="shared" si="1"/>
        <v>0.38095238095238093</v>
      </c>
      <c r="E18" s="76">
        <v>63</v>
      </c>
      <c r="F18" s="48">
        <f t="shared" si="2"/>
        <v>20</v>
      </c>
      <c r="G18" s="47">
        <f t="shared" si="3"/>
        <v>0.46511627906976744</v>
      </c>
      <c r="H18" s="76">
        <v>43</v>
      </c>
      <c r="I18" s="47">
        <f t="shared" si="4"/>
        <v>2.3699910103789261E-3</v>
      </c>
      <c r="J18" s="47">
        <f t="shared" si="5"/>
        <v>1.5071049232094158E-3</v>
      </c>
      <c r="K18" s="47">
        <f t="shared" si="6"/>
        <v>1.0608378151675136E-3</v>
      </c>
    </row>
    <row r="19" spans="1:11" ht="17.100000000000001" thickBot="1">
      <c r="A19" s="1" t="s">
        <v>203</v>
      </c>
      <c r="B19" s="20">
        <f>B17-B18</f>
        <v>6143</v>
      </c>
      <c r="C19" s="51">
        <f t="shared" si="0"/>
        <v>-622</v>
      </c>
      <c r="D19" s="52">
        <f t="shared" si="1"/>
        <v>-9.1943828529194388E-2</v>
      </c>
      <c r="E19" s="20">
        <f>E17-E18</f>
        <v>6765</v>
      </c>
      <c r="F19" s="51">
        <f t="shared" si="2"/>
        <v>5220</v>
      </c>
      <c r="G19" s="52">
        <f t="shared" si="3"/>
        <v>3.378640776699029</v>
      </c>
      <c r="H19" s="20">
        <f>H17-H18</f>
        <v>1545</v>
      </c>
      <c r="I19" s="52">
        <f t="shared" si="4"/>
        <v>0.16734315835353727</v>
      </c>
      <c r="J19" s="52">
        <f t="shared" si="5"/>
        <v>0.16183436199224918</v>
      </c>
      <c r="K19" s="52">
        <f t="shared" si="6"/>
        <v>3.8116149405437408E-2</v>
      </c>
    </row>
    <row r="20" spans="1:11" ht="17.100000000000001" thickTop="1">
      <c r="A20" s="60" t="s">
        <v>204</v>
      </c>
      <c r="B20" s="61">
        <v>8.52</v>
      </c>
      <c r="C20" s="64">
        <f t="shared" si="0"/>
        <v>-0.58000000000000007</v>
      </c>
      <c r="D20" s="63">
        <f t="shared" si="1"/>
        <v>-6.3736263736263746E-2</v>
      </c>
      <c r="E20" s="61">
        <v>9.1</v>
      </c>
      <c r="F20" s="64">
        <f t="shared" si="2"/>
        <v>7.07</v>
      </c>
      <c r="G20" s="63">
        <f t="shared" si="3"/>
        <v>3.4827586206896557</v>
      </c>
      <c r="H20" s="61">
        <v>2.0299999999999998</v>
      </c>
    </row>
    <row r="21" spans="1:11">
      <c r="A21" s="60" t="s">
        <v>205</v>
      </c>
      <c r="B21" s="61">
        <v>8.41</v>
      </c>
      <c r="C21" s="64">
        <f t="shared" si="0"/>
        <v>-0.57000000000000028</v>
      </c>
      <c r="D21" s="63">
        <f t="shared" si="1"/>
        <v>-6.3474387527839668E-2</v>
      </c>
      <c r="E21" s="61">
        <v>8.98</v>
      </c>
      <c r="F21" s="64">
        <f t="shared" si="2"/>
        <v>6.98</v>
      </c>
      <c r="G21" s="63">
        <f t="shared" si="3"/>
        <v>3.49</v>
      </c>
      <c r="H21" s="62">
        <v>2</v>
      </c>
    </row>
  </sheetData>
  <mergeCells count="6">
    <mergeCell ref="I4:K4"/>
    <mergeCell ref="B5:H5"/>
    <mergeCell ref="A1:H1"/>
    <mergeCell ref="A2:H2"/>
    <mergeCell ref="A3:H3"/>
    <mergeCell ref="A4:H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94ED1-6B29-8D4C-B368-11FED7A224D5}">
  <dimension ref="A1:U63"/>
  <sheetViews>
    <sheetView workbookViewId="0">
      <pane xSplit="1" topLeftCell="C1" activePane="topRight" state="frozen"/>
      <selection pane="topRight" activeCell="J29" sqref="J29"/>
    </sheetView>
  </sheetViews>
  <sheetFormatPr defaultColWidth="11" defaultRowHeight="15.95"/>
  <cols>
    <col min="1" max="1" width="63.125" customWidth="1"/>
    <col min="2" max="2" width="20.625" customWidth="1"/>
    <col min="3" max="3" width="11.625" customWidth="1"/>
    <col min="4" max="4" width="11.125" customWidth="1"/>
    <col min="5" max="5" width="21" customWidth="1"/>
    <col min="6" max="6" width="12.75" customWidth="1"/>
    <col min="7" max="7" width="11.5" customWidth="1"/>
    <col min="8" max="8" width="17.625" customWidth="1"/>
  </cols>
  <sheetData>
    <row r="1" spans="1:21">
      <c r="A1" s="147" t="s">
        <v>118</v>
      </c>
      <c r="B1" s="147"/>
      <c r="C1" s="147"/>
      <c r="D1" s="147"/>
      <c r="E1" s="147"/>
      <c r="F1" s="147"/>
      <c r="G1" s="147"/>
      <c r="H1" s="147"/>
      <c r="I1" s="1"/>
      <c r="J1" s="1"/>
      <c r="K1" s="1"/>
    </row>
    <row r="2" spans="1:21">
      <c r="A2" s="147" t="s">
        <v>206</v>
      </c>
      <c r="B2" s="147"/>
      <c r="C2" s="147"/>
      <c r="D2" s="147"/>
      <c r="E2" s="147"/>
      <c r="F2" s="147"/>
      <c r="G2" s="147"/>
      <c r="H2" s="147"/>
      <c r="I2" s="1"/>
      <c r="J2" s="1"/>
      <c r="K2" s="1"/>
    </row>
    <row r="3" spans="1:21">
      <c r="A3" s="147" t="s">
        <v>207</v>
      </c>
      <c r="B3" s="147"/>
      <c r="C3" s="147"/>
      <c r="D3" s="147"/>
      <c r="E3" s="147"/>
      <c r="F3" s="147"/>
      <c r="G3" s="147"/>
      <c r="H3" s="147"/>
      <c r="I3" s="1"/>
      <c r="J3" s="1"/>
      <c r="K3" s="1"/>
    </row>
    <row r="4" spans="1:21">
      <c r="A4" s="147" t="s">
        <v>33</v>
      </c>
      <c r="B4" s="147"/>
      <c r="C4" s="147"/>
      <c r="D4" s="147"/>
      <c r="E4" s="147"/>
      <c r="F4" s="147"/>
      <c r="G4" s="147"/>
      <c r="H4" s="147"/>
      <c r="I4" s="147" t="s">
        <v>34</v>
      </c>
      <c r="J4" s="147"/>
      <c r="K4" s="147"/>
      <c r="U4" s="1"/>
    </row>
    <row r="5" spans="1:21">
      <c r="A5" s="1"/>
      <c r="B5" s="27" t="s">
        <v>6</v>
      </c>
      <c r="C5" s="27" t="s">
        <v>7</v>
      </c>
      <c r="D5" s="27" t="s">
        <v>8</v>
      </c>
      <c r="E5" s="27" t="s">
        <v>9</v>
      </c>
      <c r="F5" s="27" t="s">
        <v>7</v>
      </c>
      <c r="G5" s="27" t="s">
        <v>8</v>
      </c>
      <c r="H5" s="27" t="s">
        <v>10</v>
      </c>
      <c r="I5" s="27">
        <v>2019</v>
      </c>
      <c r="J5" s="27">
        <v>2018</v>
      </c>
      <c r="K5" s="27">
        <v>2017</v>
      </c>
      <c r="U5" s="1"/>
    </row>
    <row r="6" spans="1:21">
      <c r="A6" s="1" t="s">
        <v>208</v>
      </c>
    </row>
    <row r="7" spans="1:21">
      <c r="A7" t="s">
        <v>37</v>
      </c>
      <c r="B7" s="132">
        <v>9067</v>
      </c>
      <c r="C7" s="46">
        <f>B7-E7</f>
        <v>-220</v>
      </c>
      <c r="D7" s="47">
        <f>C7/E7</f>
        <v>-2.3689027673091417E-2</v>
      </c>
      <c r="E7" s="132">
        <v>9287</v>
      </c>
      <c r="F7" s="46">
        <f>E7-H7</f>
        <v>2228</v>
      </c>
      <c r="G7" s="47">
        <f>F7/H7</f>
        <v>0.31562544269726589</v>
      </c>
      <c r="H7" s="132">
        <v>7059</v>
      </c>
      <c r="I7" s="47">
        <f>B7/B$20</f>
        <v>0.15451865232877179</v>
      </c>
      <c r="J7" s="47">
        <f>E7/E$20</f>
        <v>0.16074983123604453</v>
      </c>
      <c r="K7" s="47">
        <f>H7/H$20</f>
        <v>0.11869850344711619</v>
      </c>
    </row>
    <row r="8" spans="1:21">
      <c r="A8" s="4" t="s">
        <v>209</v>
      </c>
      <c r="B8" s="76">
        <v>1349</v>
      </c>
      <c r="C8" s="48">
        <f t="shared" ref="C8:C42" si="0">B8-E8</f>
        <v>-274</v>
      </c>
      <c r="D8" s="47">
        <f t="shared" ref="D8:D42" si="1">C8/E8</f>
        <v>-0.16882316697473815</v>
      </c>
      <c r="E8" s="76">
        <v>1623</v>
      </c>
      <c r="F8" s="48">
        <f t="shared" ref="F8:F42" si="2">E8-H8</f>
        <v>-2135</v>
      </c>
      <c r="G8" s="47">
        <f t="shared" ref="G8:G42" si="3">F8/H8</f>
        <v>-0.56812134113890367</v>
      </c>
      <c r="H8" s="76">
        <v>3758</v>
      </c>
      <c r="I8" s="47">
        <f t="shared" ref="I8:I42" si="4">B8/B$20</f>
        <v>2.2989485165050529E-2</v>
      </c>
      <c r="J8" s="47">
        <f t="shared" ref="J8:J42" si="5">E8/E$20</f>
        <v>2.8092707666210859E-2</v>
      </c>
      <c r="K8" s="47">
        <f t="shared" ref="K8:K42" si="6">H8/H$20</f>
        <v>6.3191525138725405E-2</v>
      </c>
      <c r="U8" s="2"/>
    </row>
    <row r="9" spans="1:21">
      <c r="A9" t="s">
        <v>210</v>
      </c>
      <c r="B9" s="76">
        <v>7493</v>
      </c>
      <c r="C9" s="48">
        <f t="shared" si="0"/>
        <v>-15</v>
      </c>
      <c r="D9" s="47">
        <f t="shared" si="1"/>
        <v>-1.9978689397975491E-3</v>
      </c>
      <c r="E9" s="76">
        <v>7508</v>
      </c>
      <c r="F9" s="48">
        <f t="shared" si="2"/>
        <v>-1358</v>
      </c>
      <c r="G9" s="47">
        <f t="shared" si="3"/>
        <v>-0.15316941123392736</v>
      </c>
      <c r="H9" s="76">
        <v>8866</v>
      </c>
      <c r="I9" s="47">
        <f t="shared" si="4"/>
        <v>0.12769474599089964</v>
      </c>
      <c r="J9" s="47">
        <f t="shared" si="5"/>
        <v>0.12995690028213872</v>
      </c>
      <c r="K9" s="47">
        <f t="shared" si="6"/>
        <v>0.14908357154868002</v>
      </c>
    </row>
    <row r="10" spans="1:21">
      <c r="A10" s="1" t="s">
        <v>40</v>
      </c>
      <c r="B10" s="76">
        <v>4421</v>
      </c>
      <c r="C10" s="48">
        <f t="shared" si="0"/>
        <v>95</v>
      </c>
      <c r="D10" s="47">
        <f t="shared" si="1"/>
        <v>2.1960240406842347E-2</v>
      </c>
      <c r="E10" s="76">
        <v>4326</v>
      </c>
      <c r="F10" s="48">
        <f t="shared" si="2"/>
        <v>-287</v>
      </c>
      <c r="G10" s="47">
        <f t="shared" si="3"/>
        <v>-6.2215477996965099E-2</v>
      </c>
      <c r="H10" s="76">
        <v>4613</v>
      </c>
      <c r="I10" s="47">
        <f t="shared" si="4"/>
        <v>7.5342115577975086E-2</v>
      </c>
      <c r="J10" s="47">
        <f t="shared" si="5"/>
        <v>7.487926886261749E-2</v>
      </c>
      <c r="K10" s="47">
        <f t="shared" si="6"/>
        <v>7.7568521943837232E-2</v>
      </c>
    </row>
    <row r="11" spans="1:21">
      <c r="A11" t="s">
        <v>46</v>
      </c>
      <c r="B11" s="76">
        <v>1973</v>
      </c>
      <c r="C11" s="48">
        <f t="shared" si="0"/>
        <v>355</v>
      </c>
      <c r="D11" s="47">
        <f t="shared" si="1"/>
        <v>0.21940667490729296</v>
      </c>
      <c r="E11" s="76">
        <v>1618</v>
      </c>
      <c r="F11" s="48">
        <f t="shared" si="2"/>
        <v>-88</v>
      </c>
      <c r="G11" s="47">
        <f t="shared" si="3"/>
        <v>-5.1582649472450177E-2</v>
      </c>
      <c r="H11" s="76">
        <v>1706</v>
      </c>
      <c r="I11" s="47">
        <f t="shared" si="4"/>
        <v>3.3623613217675832E-2</v>
      </c>
      <c r="J11" s="47">
        <f t="shared" si="5"/>
        <v>2.8006162048015509E-2</v>
      </c>
      <c r="K11" s="47">
        <f t="shared" si="6"/>
        <v>2.8686732806457036E-2</v>
      </c>
    </row>
    <row r="12" spans="1:21">
      <c r="A12" s="18" t="s">
        <v>47</v>
      </c>
      <c r="B12" s="75">
        <f>SUM(B7:B11)</f>
        <v>24303</v>
      </c>
      <c r="C12" s="49">
        <f t="shared" si="0"/>
        <v>-59</v>
      </c>
      <c r="D12" s="50">
        <f t="shared" si="1"/>
        <v>-2.4218044495525818E-3</v>
      </c>
      <c r="E12" s="75">
        <f>SUM(E7:E11)</f>
        <v>24362</v>
      </c>
      <c r="F12" s="49">
        <f t="shared" si="2"/>
        <v>-1640</v>
      </c>
      <c r="G12" s="50">
        <f t="shared" si="3"/>
        <v>-6.3072071379124683E-2</v>
      </c>
      <c r="H12" s="75">
        <f>SUM(H7:H11)</f>
        <v>26002</v>
      </c>
      <c r="I12" s="50">
        <f t="shared" si="4"/>
        <v>0.41416861228037288</v>
      </c>
      <c r="J12" s="50">
        <f t="shared" si="5"/>
        <v>0.42168487009502709</v>
      </c>
      <c r="K12" s="50">
        <f t="shared" si="6"/>
        <v>0.43722885488481589</v>
      </c>
    </row>
    <row r="13" spans="1:21">
      <c r="A13" t="s">
        <v>211</v>
      </c>
      <c r="B13" s="76">
        <v>588</v>
      </c>
      <c r="C13" s="48">
        <f t="shared" si="0"/>
        <v>-154</v>
      </c>
      <c r="D13" s="47">
        <f t="shared" si="1"/>
        <v>-0.20754716981132076</v>
      </c>
      <c r="E13" s="76">
        <v>742</v>
      </c>
      <c r="F13" s="48">
        <f t="shared" si="2"/>
        <v>75</v>
      </c>
      <c r="G13" s="47">
        <f t="shared" si="3"/>
        <v>0.11244377811094453</v>
      </c>
      <c r="H13" s="76">
        <v>667</v>
      </c>
      <c r="I13" s="47">
        <f t="shared" si="4"/>
        <v>1.0020620664973841E-2</v>
      </c>
      <c r="J13" s="47">
        <f t="shared" si="5"/>
        <v>1.2843369740190054E-2</v>
      </c>
      <c r="K13" s="47">
        <f t="shared" si="6"/>
        <v>1.1215739028081385E-2</v>
      </c>
    </row>
    <row r="14" spans="1:21">
      <c r="A14" t="s">
        <v>50</v>
      </c>
      <c r="B14" s="76">
        <v>5325</v>
      </c>
      <c r="C14" s="48">
        <f t="shared" si="0"/>
        <v>29</v>
      </c>
      <c r="D14" s="47">
        <f t="shared" si="1"/>
        <v>5.4758308157099702E-3</v>
      </c>
      <c r="E14" s="76">
        <v>5296</v>
      </c>
      <c r="F14" s="48">
        <f t="shared" si="2"/>
        <v>-630</v>
      </c>
      <c r="G14" s="47">
        <f t="shared" si="3"/>
        <v>-0.10631117111036112</v>
      </c>
      <c r="H14" s="76">
        <v>5926</v>
      </c>
      <c r="I14" s="47">
        <f t="shared" si="4"/>
        <v>9.0747967756778403E-2</v>
      </c>
      <c r="J14" s="47">
        <f t="shared" si="5"/>
        <v>9.1669118792515533E-2</v>
      </c>
      <c r="K14" s="47">
        <f t="shared" si="6"/>
        <v>9.9646880780225322E-2</v>
      </c>
    </row>
    <row r="15" spans="1:21">
      <c r="A15" t="s">
        <v>52</v>
      </c>
      <c r="B15" s="76">
        <v>15563</v>
      </c>
      <c r="C15" s="48">
        <f t="shared" si="0"/>
        <v>17</v>
      </c>
      <c r="D15" s="47">
        <f t="shared" si="1"/>
        <v>1.0935288820275312E-3</v>
      </c>
      <c r="E15" s="76">
        <v>15546</v>
      </c>
      <c r="F15" s="48">
        <f t="shared" si="2"/>
        <v>-2731</v>
      </c>
      <c r="G15" s="47">
        <f t="shared" si="3"/>
        <v>-0.14942277178968102</v>
      </c>
      <c r="H15" s="76">
        <v>18277</v>
      </c>
      <c r="I15" s="47">
        <f t="shared" si="4"/>
        <v>0.26522265205610185</v>
      </c>
      <c r="J15" s="47">
        <f t="shared" si="5"/>
        <v>0.26908763609298464</v>
      </c>
      <c r="K15" s="47">
        <f t="shared" si="6"/>
        <v>0.30733142761055993</v>
      </c>
    </row>
    <row r="16" spans="1:21">
      <c r="A16" t="s">
        <v>212</v>
      </c>
      <c r="B16" s="76">
        <v>3734</v>
      </c>
      <c r="C16" s="48">
        <f t="shared" si="0"/>
        <v>-405</v>
      </c>
      <c r="D16" s="47">
        <f t="shared" si="1"/>
        <v>-9.7849722155109925E-2</v>
      </c>
      <c r="E16" s="76">
        <v>4139</v>
      </c>
      <c r="F16" s="48">
        <f t="shared" si="2"/>
        <v>-357</v>
      </c>
      <c r="G16" s="47">
        <f t="shared" si="3"/>
        <v>-7.9403914590747332E-2</v>
      </c>
      <c r="H16" s="76">
        <v>4496</v>
      </c>
      <c r="I16" s="47">
        <f t="shared" si="4"/>
        <v>6.3634349596959724E-2</v>
      </c>
      <c r="J16" s="47">
        <f t="shared" si="5"/>
        <v>7.1642462742111362E-2</v>
      </c>
      <c r="K16" s="47">
        <f t="shared" si="6"/>
        <v>7.5601143433664031E-2</v>
      </c>
    </row>
    <row r="17" spans="1:15">
      <c r="A17" t="s">
        <v>213</v>
      </c>
      <c r="B17" s="76">
        <v>392</v>
      </c>
      <c r="C17" s="48">
        <f t="shared" si="0"/>
        <v>-45</v>
      </c>
      <c r="D17" s="47">
        <f t="shared" si="1"/>
        <v>-0.10297482837528604</v>
      </c>
      <c r="E17" s="76">
        <v>437</v>
      </c>
      <c r="F17" s="48">
        <f t="shared" si="2"/>
        <v>-42</v>
      </c>
      <c r="G17" s="47">
        <f t="shared" si="3"/>
        <v>-8.7682672233820466E-2</v>
      </c>
      <c r="H17" s="76">
        <v>479</v>
      </c>
      <c r="I17" s="47">
        <f t="shared" si="4"/>
        <v>6.6804137766492272E-3</v>
      </c>
      <c r="J17" s="47">
        <f t="shared" si="5"/>
        <v>7.5640870302736574E-3</v>
      </c>
      <c r="K17" s="47">
        <f t="shared" si="6"/>
        <v>8.0544812510509496E-3</v>
      </c>
    </row>
    <row r="18" spans="1:15">
      <c r="A18" t="s">
        <v>88</v>
      </c>
      <c r="B18" s="76">
        <v>86</v>
      </c>
      <c r="C18" s="48">
        <f t="shared" si="0"/>
        <v>-296</v>
      </c>
      <c r="D18" s="47">
        <f t="shared" si="1"/>
        <v>-0.77486910994764402</v>
      </c>
      <c r="E18" s="76">
        <v>382</v>
      </c>
      <c r="F18" s="48">
        <f t="shared" si="2"/>
        <v>131</v>
      </c>
      <c r="G18" s="47">
        <f t="shared" si="3"/>
        <v>0.52191235059760954</v>
      </c>
      <c r="H18" s="76">
        <v>251</v>
      </c>
      <c r="I18" s="47">
        <f t="shared" si="4"/>
        <v>1.4656009816118203E-3</v>
      </c>
      <c r="J18" s="47">
        <f t="shared" si="5"/>
        <v>6.6120852301247987E-3</v>
      </c>
      <c r="K18" s="47">
        <f t="shared" si="6"/>
        <v>4.2206154363544643E-3</v>
      </c>
    </row>
    <row r="19" spans="1:15">
      <c r="A19" t="s">
        <v>54</v>
      </c>
      <c r="B19" s="76">
        <v>8688</v>
      </c>
      <c r="C19" s="48">
        <f t="shared" si="0"/>
        <v>1819</v>
      </c>
      <c r="D19" s="47">
        <f t="shared" si="1"/>
        <v>0.26481292764594555</v>
      </c>
      <c r="E19" s="76">
        <v>6869</v>
      </c>
      <c r="F19" s="48">
        <f t="shared" si="2"/>
        <v>3497</v>
      </c>
      <c r="G19" s="47">
        <f t="shared" si="3"/>
        <v>1.0370699881376038</v>
      </c>
      <c r="H19" s="76">
        <v>3372</v>
      </c>
      <c r="I19" s="47">
        <f t="shared" si="4"/>
        <v>0.14805978288655225</v>
      </c>
      <c r="J19" s="47">
        <f t="shared" si="5"/>
        <v>0.11889637027677288</v>
      </c>
      <c r="K19" s="47">
        <f t="shared" si="6"/>
        <v>5.6700857575248023E-2</v>
      </c>
    </row>
    <row r="20" spans="1:15">
      <c r="A20" s="1" t="s">
        <v>55</v>
      </c>
      <c r="B20" s="154">
        <f>SUM(B13:B19)+B12</f>
        <v>58679</v>
      </c>
      <c r="C20" s="53">
        <f t="shared" si="0"/>
        <v>906</v>
      </c>
      <c r="D20" s="52">
        <f t="shared" si="1"/>
        <v>1.5682066016997561E-2</v>
      </c>
      <c r="E20" s="154">
        <f>SUM(E13:E19)+E12</f>
        <v>57773</v>
      </c>
      <c r="F20" s="53">
        <f t="shared" si="2"/>
        <v>-1697</v>
      </c>
      <c r="G20" s="52">
        <f t="shared" si="3"/>
        <v>-2.8535395997982174E-2</v>
      </c>
      <c r="H20" s="154">
        <f>SUM(H13:H19)+H12</f>
        <v>59470</v>
      </c>
      <c r="I20" s="52">
        <f t="shared" si="4"/>
        <v>1</v>
      </c>
      <c r="J20" s="52">
        <f t="shared" si="5"/>
        <v>1</v>
      </c>
      <c r="K20" s="52">
        <f t="shared" si="6"/>
        <v>1</v>
      </c>
    </row>
    <row r="21" spans="1:15">
      <c r="A21" t="s">
        <v>214</v>
      </c>
      <c r="B21" s="76"/>
      <c r="C21" s="48"/>
      <c r="D21" s="47"/>
      <c r="E21" s="76"/>
      <c r="F21" s="48"/>
      <c r="G21" s="47"/>
      <c r="H21" s="76"/>
      <c r="I21" s="47"/>
      <c r="J21" s="47"/>
      <c r="K21" s="47"/>
    </row>
    <row r="22" spans="1:15">
      <c r="A22" t="s">
        <v>58</v>
      </c>
      <c r="B22" s="76">
        <v>5730</v>
      </c>
      <c r="C22" s="48">
        <f t="shared" si="0"/>
        <v>123</v>
      </c>
      <c r="D22" s="47">
        <f t="shared" si="1"/>
        <v>2.1936864633493848E-2</v>
      </c>
      <c r="E22" s="76">
        <v>5607</v>
      </c>
      <c r="F22" s="48">
        <f t="shared" si="2"/>
        <v>-977</v>
      </c>
      <c r="G22" s="47">
        <f t="shared" si="3"/>
        <v>-0.14839003645200485</v>
      </c>
      <c r="H22" s="76">
        <v>6584</v>
      </c>
      <c r="I22" s="47">
        <f t="shared" si="4"/>
        <v>9.7649925867857326E-2</v>
      </c>
      <c r="J22" s="47">
        <f t="shared" si="5"/>
        <v>9.7052256244266347E-2</v>
      </c>
      <c r="K22" s="47">
        <f t="shared" si="6"/>
        <v>0.11071128299983185</v>
      </c>
      <c r="N22" s="2"/>
    </row>
    <row r="23" spans="1:15">
      <c r="A23" s="1" t="s">
        <v>215</v>
      </c>
      <c r="B23" s="76">
        <v>3516</v>
      </c>
      <c r="C23" s="48">
        <f t="shared" si="0"/>
        <v>-70</v>
      </c>
      <c r="D23" s="47">
        <f t="shared" si="1"/>
        <v>-1.9520356943669825E-2</v>
      </c>
      <c r="E23" s="76">
        <v>3586</v>
      </c>
      <c r="F23" s="48">
        <f t="shared" si="2"/>
        <v>-372</v>
      </c>
      <c r="G23" s="47">
        <f t="shared" si="3"/>
        <v>-9.3986862051541178E-2</v>
      </c>
      <c r="H23" s="76">
        <v>3958</v>
      </c>
      <c r="I23" s="47">
        <f t="shared" si="4"/>
        <v>5.9919221527292559E-2</v>
      </c>
      <c r="J23" s="47">
        <f t="shared" si="5"/>
        <v>6.207051736970557E-2</v>
      </c>
      <c r="K23" s="47">
        <f t="shared" si="6"/>
        <v>6.6554565327055656E-2</v>
      </c>
    </row>
    <row r="24" spans="1:15">
      <c r="A24" t="s">
        <v>216</v>
      </c>
      <c r="B24" s="76">
        <v>1376</v>
      </c>
      <c r="C24" s="48">
        <f t="shared" si="0"/>
        <v>-1496</v>
      </c>
      <c r="D24" s="47">
        <f t="shared" si="1"/>
        <v>-0.52089136490250698</v>
      </c>
      <c r="E24" s="76">
        <v>2872</v>
      </c>
      <c r="F24" s="48">
        <f t="shared" si="2"/>
        <v>1521</v>
      </c>
      <c r="G24" s="47">
        <f t="shared" si="3"/>
        <v>1.1258327165062916</v>
      </c>
      <c r="H24" s="76">
        <v>1351</v>
      </c>
      <c r="I24" s="47">
        <f t="shared" si="4"/>
        <v>2.3449615705789125E-2</v>
      </c>
      <c r="J24" s="47">
        <f t="shared" si="5"/>
        <v>4.9711803091409483E-2</v>
      </c>
      <c r="K24" s="47">
        <f t="shared" si="6"/>
        <v>2.2717336472170842E-2</v>
      </c>
    </row>
    <row r="25" spans="1:15">
      <c r="A25" t="s">
        <v>217</v>
      </c>
      <c r="B25" s="76">
        <v>7476</v>
      </c>
      <c r="C25" s="48">
        <f t="shared" si="0"/>
        <v>617</v>
      </c>
      <c r="D25" s="47">
        <f t="shared" si="1"/>
        <v>8.9954803907275116E-2</v>
      </c>
      <c r="E25" s="76">
        <v>6859</v>
      </c>
      <c r="F25" s="48">
        <f t="shared" si="2"/>
        <v>-109</v>
      </c>
      <c r="G25" s="47">
        <f t="shared" si="3"/>
        <v>-1.5642939150401838E-2</v>
      </c>
      <c r="H25" s="76">
        <v>6968</v>
      </c>
      <c r="I25" s="47">
        <f t="shared" si="4"/>
        <v>0.12740503416895313</v>
      </c>
      <c r="J25" s="47">
        <f t="shared" si="5"/>
        <v>0.11872327904038218</v>
      </c>
      <c r="K25" s="47">
        <f t="shared" si="6"/>
        <v>0.11716832016142593</v>
      </c>
    </row>
    <row r="26" spans="1:15">
      <c r="A26" t="s">
        <v>63</v>
      </c>
      <c r="B26" s="75">
        <f>SUM(B22:B25)</f>
        <v>18098</v>
      </c>
      <c r="C26" s="49">
        <f t="shared" si="0"/>
        <v>-826</v>
      </c>
      <c r="D26" s="50">
        <f t="shared" si="1"/>
        <v>-4.3648277319805535E-2</v>
      </c>
      <c r="E26" s="75">
        <f>SUM(E22:E25)</f>
        <v>18924</v>
      </c>
      <c r="F26" s="49">
        <f t="shared" si="2"/>
        <v>63</v>
      </c>
      <c r="G26" s="50">
        <f t="shared" si="3"/>
        <v>3.3402258628916813E-3</v>
      </c>
      <c r="H26" s="75">
        <f>SUM(H22:H25)</f>
        <v>18861</v>
      </c>
      <c r="I26" s="50">
        <f t="shared" si="4"/>
        <v>0.30842379726989211</v>
      </c>
      <c r="J26" s="50">
        <f t="shared" si="5"/>
        <v>0.32755785574576357</v>
      </c>
      <c r="K26" s="50">
        <f t="shared" si="6"/>
        <v>0.31715150496048428</v>
      </c>
    </row>
    <row r="27" spans="1:15">
      <c r="A27" t="s">
        <v>64</v>
      </c>
      <c r="B27" s="76">
        <v>11110</v>
      </c>
      <c r="C27" s="48">
        <f t="shared" si="0"/>
        <v>1354</v>
      </c>
      <c r="D27" s="47">
        <f t="shared" si="1"/>
        <v>0.13878638786387865</v>
      </c>
      <c r="E27" s="76">
        <v>9756</v>
      </c>
      <c r="F27" s="48">
        <f t="shared" si="2"/>
        <v>-2817</v>
      </c>
      <c r="G27" s="47">
        <f t="shared" si="3"/>
        <v>-0.22405153901216893</v>
      </c>
      <c r="H27" s="76">
        <v>12573</v>
      </c>
      <c r="I27" s="47">
        <f t="shared" si="4"/>
        <v>0.18933519657799214</v>
      </c>
      <c r="J27" s="47">
        <f t="shared" si="5"/>
        <v>0.16886781022276842</v>
      </c>
      <c r="K27" s="47">
        <f t="shared" si="6"/>
        <v>0.2114175214393812</v>
      </c>
    </row>
    <row r="28" spans="1:15">
      <c r="A28" t="s">
        <v>88</v>
      </c>
      <c r="B28" s="76">
        <v>1670</v>
      </c>
      <c r="C28" s="48">
        <f t="shared" si="0"/>
        <v>-43</v>
      </c>
      <c r="D28" s="47">
        <f t="shared" si="1"/>
        <v>-2.5102159953298307E-2</v>
      </c>
      <c r="E28" s="76">
        <v>1713</v>
      </c>
      <c r="F28" s="48">
        <f t="shared" si="2"/>
        <v>-951</v>
      </c>
      <c r="G28" s="47">
        <f t="shared" si="3"/>
        <v>-0.356981981981982</v>
      </c>
      <c r="H28" s="76">
        <v>2664</v>
      </c>
      <c r="I28" s="47">
        <f t="shared" si="4"/>
        <v>2.8459926038276046E-2</v>
      </c>
      <c r="J28" s="47">
        <f t="shared" si="5"/>
        <v>2.9650528793727173E-2</v>
      </c>
      <c r="K28" s="47">
        <f t="shared" si="6"/>
        <v>4.4795695308558939E-2</v>
      </c>
      <c r="N28" s="11"/>
      <c r="O28" s="11"/>
    </row>
    <row r="29" spans="1:15">
      <c r="A29" t="s">
        <v>218</v>
      </c>
      <c r="B29" s="76">
        <v>326</v>
      </c>
      <c r="C29" s="48">
        <f t="shared" si="0"/>
        <v>-18</v>
      </c>
      <c r="D29" s="47">
        <f t="shared" si="1"/>
        <v>-5.232558139534884E-2</v>
      </c>
      <c r="E29" s="76">
        <v>344</v>
      </c>
      <c r="F29" s="48">
        <f t="shared" si="2"/>
        <v>-168</v>
      </c>
      <c r="G29" s="47">
        <f t="shared" si="3"/>
        <v>-0.328125</v>
      </c>
      <c r="H29" s="76">
        <v>512</v>
      </c>
      <c r="I29" s="47">
        <f t="shared" si="4"/>
        <v>5.555650232621551E-3</v>
      </c>
      <c r="J29" s="47">
        <f t="shared" si="5"/>
        <v>5.9543385318401327E-3</v>
      </c>
      <c r="K29" s="47">
        <f t="shared" si="6"/>
        <v>8.6093828821254409E-3</v>
      </c>
      <c r="N29" s="12"/>
      <c r="O29" s="12"/>
    </row>
    <row r="30" spans="1:15">
      <c r="A30" t="s">
        <v>219</v>
      </c>
      <c r="B30" s="76">
        <v>1996</v>
      </c>
      <c r="C30" s="48">
        <f t="shared" si="0"/>
        <v>-273</v>
      </c>
      <c r="D30" s="47">
        <f t="shared" si="1"/>
        <v>-0.12031732040546496</v>
      </c>
      <c r="E30" s="76">
        <v>2269</v>
      </c>
      <c r="F30" s="48">
        <f t="shared" si="2"/>
        <v>9</v>
      </c>
      <c r="G30" s="47">
        <f t="shared" si="3"/>
        <v>3.9823008849557522E-3</v>
      </c>
      <c r="H30" s="76">
        <v>2260</v>
      </c>
      <c r="I30" s="47">
        <f t="shared" si="4"/>
        <v>3.4015576270897595E-2</v>
      </c>
      <c r="J30" s="47">
        <f t="shared" si="5"/>
        <v>3.9274401537050183E-2</v>
      </c>
      <c r="K30" s="47">
        <f t="shared" si="6"/>
        <v>3.8002354128131834E-2</v>
      </c>
      <c r="N30" s="12"/>
      <c r="O30" s="12"/>
    </row>
    <row r="31" spans="1:15">
      <c r="A31" t="s">
        <v>67</v>
      </c>
      <c r="B31" s="76">
        <v>6766</v>
      </c>
      <c r="C31" s="48">
        <f t="shared" si="0"/>
        <v>364</v>
      </c>
      <c r="D31" s="47">
        <f t="shared" si="1"/>
        <v>5.6857232114964074E-2</v>
      </c>
      <c r="E31" s="76">
        <v>6402</v>
      </c>
      <c r="F31" s="48">
        <f t="shared" si="2"/>
        <v>472</v>
      </c>
      <c r="G31" s="47">
        <f t="shared" si="3"/>
        <v>7.9595278246205728E-2</v>
      </c>
      <c r="H31" s="76">
        <v>5930</v>
      </c>
      <c r="I31" s="47">
        <f t="shared" si="4"/>
        <v>0.115305305134716</v>
      </c>
      <c r="J31" s="47">
        <f t="shared" si="5"/>
        <v>0.11081300953732713</v>
      </c>
      <c r="K31" s="47">
        <f t="shared" si="6"/>
        <v>9.971414158399193E-2</v>
      </c>
      <c r="N31" s="12"/>
      <c r="O31" s="12"/>
    </row>
    <row r="32" spans="1:15">
      <c r="A32" t="s">
        <v>220</v>
      </c>
      <c r="B32" s="76">
        <v>7</v>
      </c>
      <c r="C32" s="48">
        <f t="shared" si="0"/>
        <v>0</v>
      </c>
      <c r="D32" s="47">
        <f t="shared" si="1"/>
        <v>0</v>
      </c>
      <c r="E32" s="76">
        <v>7</v>
      </c>
      <c r="F32" s="48">
        <f t="shared" si="2"/>
        <v>2</v>
      </c>
      <c r="G32" s="47">
        <f t="shared" si="3"/>
        <v>0.4</v>
      </c>
      <c r="H32" s="76">
        <v>5</v>
      </c>
      <c r="I32" s="47">
        <f t="shared" si="4"/>
        <v>1.1929310315445049E-4</v>
      </c>
      <c r="J32" s="47">
        <f t="shared" si="5"/>
        <v>1.2116386547349108E-4</v>
      </c>
      <c r="K32" s="47">
        <f t="shared" si="6"/>
        <v>8.4076004708256259E-5</v>
      </c>
      <c r="N32" s="12"/>
      <c r="O32" s="12"/>
    </row>
    <row r="33" spans="1:15">
      <c r="A33" s="18" t="s">
        <v>221</v>
      </c>
      <c r="B33" s="76"/>
      <c r="C33" s="48"/>
      <c r="D33" s="47"/>
      <c r="E33" s="76"/>
      <c r="F33" s="48"/>
      <c r="G33" s="47"/>
      <c r="H33" s="76"/>
      <c r="I33" s="47"/>
      <c r="J33" s="47"/>
      <c r="K33" s="47"/>
      <c r="N33" s="12"/>
      <c r="O33" s="12"/>
    </row>
    <row r="34" spans="1:15">
      <c r="A34" t="s">
        <v>222</v>
      </c>
      <c r="B34" s="76">
        <v>958</v>
      </c>
      <c r="C34" s="48">
        <f t="shared" si="0"/>
        <v>0</v>
      </c>
      <c r="D34" s="47">
        <f t="shared" si="1"/>
        <v>0</v>
      </c>
      <c r="E34" s="76">
        <v>958</v>
      </c>
      <c r="F34" s="48">
        <f t="shared" si="2"/>
        <v>0</v>
      </c>
      <c r="G34" s="47">
        <f t="shared" si="3"/>
        <v>0</v>
      </c>
      <c r="H34" s="76">
        <v>958</v>
      </c>
      <c r="I34" s="47">
        <f t="shared" si="4"/>
        <v>1.6326113260280509E-2</v>
      </c>
      <c r="J34" s="47">
        <f t="shared" si="5"/>
        <v>1.6582140446229209E-2</v>
      </c>
      <c r="K34" s="47">
        <f t="shared" si="6"/>
        <v>1.6108962502101899E-2</v>
      </c>
    </row>
    <row r="35" spans="1:15">
      <c r="A35" t="s">
        <v>223</v>
      </c>
      <c r="B35" s="76">
        <v>6876</v>
      </c>
      <c r="C35" s="48">
        <f t="shared" si="0"/>
        <v>424</v>
      </c>
      <c r="D35" s="47">
        <f t="shared" si="1"/>
        <v>6.5716057036577805E-2</v>
      </c>
      <c r="E35" s="76">
        <v>6452</v>
      </c>
      <c r="F35" s="48">
        <f t="shared" si="2"/>
        <v>240</v>
      </c>
      <c r="G35" s="47">
        <f t="shared" si="3"/>
        <v>3.8634900193174504E-2</v>
      </c>
      <c r="H35" s="76">
        <v>6212</v>
      </c>
      <c r="I35" s="47">
        <f t="shared" si="4"/>
        <v>0.11717991104142879</v>
      </c>
      <c r="J35" s="47">
        <f t="shared" si="5"/>
        <v>0.11167846571928064</v>
      </c>
      <c r="K35" s="47">
        <f t="shared" si="6"/>
        <v>0.10445602824953758</v>
      </c>
      <c r="N35" s="12"/>
      <c r="O35" s="12"/>
    </row>
    <row r="36" spans="1:15">
      <c r="A36" t="s">
        <v>224</v>
      </c>
      <c r="B36" s="76">
        <v>-23836</v>
      </c>
      <c r="C36" s="48">
        <f t="shared" si="0"/>
        <v>-4065</v>
      </c>
      <c r="D36" s="47">
        <f t="shared" si="1"/>
        <v>0.20560416772039855</v>
      </c>
      <c r="E36" s="76">
        <v>-19771</v>
      </c>
      <c r="F36" s="48">
        <f t="shared" si="2"/>
        <v>-3857</v>
      </c>
      <c r="G36" s="47">
        <f t="shared" si="3"/>
        <v>0.2423652130199824</v>
      </c>
      <c r="H36" s="76">
        <v>-15914</v>
      </c>
      <c r="I36" s="47">
        <f t="shared" si="4"/>
        <v>-0.4062100581127831</v>
      </c>
      <c r="J36" s="47">
        <f t="shared" si="5"/>
        <v>-0.34221868346805601</v>
      </c>
      <c r="K36" s="47">
        <f t="shared" si="6"/>
        <v>-0.26759710778543805</v>
      </c>
      <c r="N36" s="12"/>
      <c r="O36" s="12"/>
    </row>
    <row r="37" spans="1:15">
      <c r="A37" t="s">
        <v>75</v>
      </c>
      <c r="B37" s="76">
        <v>-3197</v>
      </c>
      <c r="C37" s="48">
        <f t="shared" si="0"/>
        <v>240</v>
      </c>
      <c r="D37" s="47">
        <f t="shared" si="1"/>
        <v>-6.9828338667442535E-2</v>
      </c>
      <c r="E37" s="76">
        <v>-3437</v>
      </c>
      <c r="F37" s="48">
        <f t="shared" si="2"/>
        <v>-1202</v>
      </c>
      <c r="G37" s="47">
        <f t="shared" si="3"/>
        <v>0.53780760626398205</v>
      </c>
      <c r="H37" s="76">
        <v>-2235</v>
      </c>
      <c r="I37" s="47">
        <f t="shared" si="4"/>
        <v>-5.4482864397825459E-2</v>
      </c>
      <c r="J37" s="47">
        <f t="shared" si="5"/>
        <v>-5.9491457947484117E-2</v>
      </c>
      <c r="K37" s="47">
        <f t="shared" si="6"/>
        <v>-3.7581974104590549E-2</v>
      </c>
      <c r="N37" s="12"/>
      <c r="O37" s="12"/>
    </row>
    <row r="38" spans="1:15">
      <c r="A38" t="s">
        <v>73</v>
      </c>
      <c r="B38" s="76">
        <v>37693</v>
      </c>
      <c r="C38" s="48">
        <f t="shared" si="0"/>
        <v>3715</v>
      </c>
      <c r="D38" s="47">
        <f t="shared" si="1"/>
        <v>0.10933545235152158</v>
      </c>
      <c r="E38" s="76">
        <v>33978</v>
      </c>
      <c r="F38" s="48">
        <f t="shared" si="2"/>
        <v>6497</v>
      </c>
      <c r="G38" s="47">
        <f t="shared" si="3"/>
        <v>0.23641788872311778</v>
      </c>
      <c r="H38" s="76">
        <v>27481</v>
      </c>
      <c r="I38" s="47">
        <f t="shared" si="4"/>
        <v>0.64235927674295745</v>
      </c>
      <c r="J38" s="47">
        <f t="shared" si="5"/>
        <v>0.58812940300832572</v>
      </c>
      <c r="K38" s="47">
        <f t="shared" si="6"/>
        <v>0.46209853707751808</v>
      </c>
    </row>
    <row r="39" spans="1:15">
      <c r="A39" s="1" t="s">
        <v>225</v>
      </c>
      <c r="B39" s="75">
        <f>SUM(B34:B38)</f>
        <v>18494</v>
      </c>
      <c r="C39" s="49">
        <f t="shared" si="0"/>
        <v>314</v>
      </c>
      <c r="D39" s="50">
        <f t="shared" si="1"/>
        <v>1.7271727172717272E-2</v>
      </c>
      <c r="E39" s="75">
        <f>SUM(E34:E38)</f>
        <v>18180</v>
      </c>
      <c r="F39" s="49">
        <f t="shared" si="2"/>
        <v>1678</v>
      </c>
      <c r="G39" s="50">
        <f t="shared" si="3"/>
        <v>0.10168464428554115</v>
      </c>
      <c r="H39" s="75">
        <f>SUM(H34:H38)</f>
        <v>16502</v>
      </c>
      <c r="I39" s="50">
        <f t="shared" si="4"/>
        <v>0.31517237853405816</v>
      </c>
      <c r="J39" s="50">
        <f t="shared" si="5"/>
        <v>0.31467986775829537</v>
      </c>
      <c r="K39" s="50">
        <f t="shared" si="6"/>
        <v>0.27748444593912897</v>
      </c>
    </row>
    <row r="40" spans="1:15">
      <c r="A40" t="s">
        <v>77</v>
      </c>
      <c r="B40" s="76">
        <v>212</v>
      </c>
      <c r="C40" s="48">
        <f t="shared" si="0"/>
        <v>34</v>
      </c>
      <c r="D40" s="47">
        <f t="shared" si="1"/>
        <v>0.19101123595505617</v>
      </c>
      <c r="E40" s="76">
        <v>178</v>
      </c>
      <c r="F40" s="48">
        <f t="shared" si="2"/>
        <v>15</v>
      </c>
      <c r="G40" s="47">
        <f t="shared" si="3"/>
        <v>9.202453987730061E-2</v>
      </c>
      <c r="H40" s="76">
        <v>163</v>
      </c>
      <c r="I40" s="47">
        <f t="shared" si="4"/>
        <v>3.6128768383919289E-3</v>
      </c>
      <c r="J40" s="47">
        <f t="shared" si="5"/>
        <v>3.0810240077544875E-3</v>
      </c>
      <c r="K40" s="47">
        <f t="shared" si="6"/>
        <v>2.7408777534891544E-3</v>
      </c>
      <c r="N40" s="12"/>
      <c r="O40" s="12"/>
    </row>
    <row r="41" spans="1:15">
      <c r="A41" s="18" t="s">
        <v>226</v>
      </c>
      <c r="B41" s="77">
        <f>B39+B40</f>
        <v>18706</v>
      </c>
      <c r="C41" s="49">
        <f t="shared" si="0"/>
        <v>348</v>
      </c>
      <c r="D41" s="50">
        <f t="shared" si="1"/>
        <v>1.8956313323891492E-2</v>
      </c>
      <c r="E41" s="75">
        <f>E39+E40</f>
        <v>18358</v>
      </c>
      <c r="F41" s="49">
        <f t="shared" si="2"/>
        <v>1693</v>
      </c>
      <c r="G41" s="50">
        <f t="shared" si="3"/>
        <v>0.10159015901590158</v>
      </c>
      <c r="H41" s="75">
        <f>H39+H40</f>
        <v>16665</v>
      </c>
      <c r="I41" s="50">
        <f t="shared" si="4"/>
        <v>0.31878525537245012</v>
      </c>
      <c r="J41" s="50">
        <f t="shared" si="5"/>
        <v>0.31776089176604988</v>
      </c>
      <c r="K41" s="50">
        <f t="shared" si="6"/>
        <v>0.2802253236926181</v>
      </c>
      <c r="N41" s="12"/>
      <c r="O41" s="12"/>
    </row>
    <row r="42" spans="1:15">
      <c r="A42" s="1" t="s">
        <v>227</v>
      </c>
      <c r="B42" s="135">
        <f>SUM(B27:B32)+B26+B41</f>
        <v>58679</v>
      </c>
      <c r="C42" s="51">
        <f t="shared" si="0"/>
        <v>906</v>
      </c>
      <c r="D42" s="52">
        <f t="shared" si="1"/>
        <v>1.5682066016997561E-2</v>
      </c>
      <c r="E42" s="135">
        <f>SUM(E27:E32)+E26+E41</f>
        <v>57773</v>
      </c>
      <c r="F42" s="51">
        <f t="shared" si="2"/>
        <v>-1697</v>
      </c>
      <c r="G42" s="52">
        <f t="shared" si="3"/>
        <v>-2.8535395997982174E-2</v>
      </c>
      <c r="H42" s="135">
        <f>SUM(H27:H32)+H26+H41</f>
        <v>59470</v>
      </c>
      <c r="I42" s="52">
        <f t="shared" si="4"/>
        <v>1</v>
      </c>
      <c r="J42" s="52">
        <f t="shared" si="5"/>
        <v>1</v>
      </c>
      <c r="K42" s="52">
        <f t="shared" si="6"/>
        <v>1</v>
      </c>
    </row>
    <row r="43" spans="1:15" ht="17.100000000000001" thickTop="1">
      <c r="N43" s="12"/>
      <c r="O43" s="12"/>
    </row>
    <row r="44" spans="1:15">
      <c r="A44" t="s">
        <v>228</v>
      </c>
      <c r="B44" s="11">
        <v>177</v>
      </c>
      <c r="E44" s="65">
        <v>132.12</v>
      </c>
      <c r="H44" s="66">
        <v>146.99</v>
      </c>
      <c r="N44" s="12"/>
      <c r="O44" s="12"/>
    </row>
    <row r="45" spans="1:15">
      <c r="N45" s="12"/>
      <c r="O45" s="12"/>
    </row>
    <row r="46" spans="1:15">
      <c r="N46" s="12"/>
      <c r="O46" s="12"/>
    </row>
    <row r="47" spans="1:15">
      <c r="N47" s="12"/>
      <c r="O47" s="12"/>
    </row>
    <row r="48" spans="1:15">
      <c r="N48" s="12"/>
      <c r="O48" s="12"/>
    </row>
    <row r="49" spans="14:15">
      <c r="N49" s="12"/>
      <c r="O49" s="12"/>
    </row>
    <row r="51" spans="14:15">
      <c r="N51" s="12"/>
      <c r="O51" s="12"/>
    </row>
    <row r="52" spans="14:15">
      <c r="N52" s="12"/>
      <c r="O52" s="12"/>
    </row>
    <row r="56" spans="14:15">
      <c r="N56" s="12"/>
      <c r="O56" s="12"/>
    </row>
    <row r="57" spans="14:15">
      <c r="N57" s="12"/>
      <c r="O57" s="12"/>
    </row>
    <row r="58" spans="14:15">
      <c r="N58" s="12"/>
      <c r="O58" s="12"/>
    </row>
    <row r="59" spans="14:15">
      <c r="N59" s="12"/>
      <c r="O59" s="12"/>
    </row>
    <row r="60" spans="14:15">
      <c r="N60" s="12"/>
      <c r="O60" s="12"/>
    </row>
    <row r="62" spans="14:15">
      <c r="N62" s="12"/>
      <c r="O62" s="12"/>
    </row>
    <row r="63" spans="14:15">
      <c r="N63" s="11"/>
      <c r="O63" s="11"/>
    </row>
  </sheetData>
  <mergeCells count="5">
    <mergeCell ref="I4:K4"/>
    <mergeCell ref="A1:H1"/>
    <mergeCell ref="A2:H2"/>
    <mergeCell ref="A3:H3"/>
    <mergeCell ref="A4:H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F4C90-36B9-874D-9A10-9659BA7DCE0B}">
  <dimension ref="A1:S52"/>
  <sheetViews>
    <sheetView workbookViewId="0">
      <pane xSplit="1" topLeftCell="B5" activePane="topRight" state="frozen"/>
      <selection pane="topRight" activeCell="D14" sqref="D14"/>
    </sheetView>
  </sheetViews>
  <sheetFormatPr defaultColWidth="11" defaultRowHeight="15.95"/>
  <cols>
    <col min="1" max="1" width="87.75" customWidth="1"/>
    <col min="2" max="2" width="15.875" customWidth="1"/>
    <col min="3" max="3" width="14.125" customWidth="1"/>
    <col min="4" max="4" width="20.125" customWidth="1"/>
    <col min="5" max="5" width="17.875" customWidth="1"/>
    <col min="6" max="6" width="15" customWidth="1"/>
    <col min="7" max="7" width="14.625" customWidth="1"/>
    <col min="8" max="8" width="15.625" customWidth="1"/>
    <col min="10" max="10" width="0" hidden="1" customWidth="1"/>
    <col min="12" max="19" width="11" hidden="1" customWidth="1"/>
  </cols>
  <sheetData>
    <row r="1" spans="1:19" ht="15.95" customHeight="1">
      <c r="A1" s="147" t="s">
        <v>118</v>
      </c>
      <c r="B1" s="147"/>
      <c r="C1" s="147"/>
      <c r="D1" s="147"/>
      <c r="E1" s="147"/>
      <c r="F1" s="147"/>
      <c r="G1" s="147"/>
      <c r="H1" s="147"/>
      <c r="L1" s="145" t="s">
        <v>0</v>
      </c>
      <c r="M1" s="145"/>
      <c r="N1" s="145"/>
      <c r="O1" s="145"/>
      <c r="P1" s="145"/>
      <c r="Q1" s="145"/>
      <c r="R1" s="145"/>
      <c r="S1" s="145"/>
    </row>
    <row r="2" spans="1:19">
      <c r="A2" s="147" t="s">
        <v>229</v>
      </c>
      <c r="B2" s="147"/>
      <c r="C2" s="147"/>
      <c r="D2" s="147"/>
      <c r="E2" s="147"/>
      <c r="F2" s="147"/>
      <c r="G2" s="147"/>
      <c r="H2" s="147"/>
      <c r="L2" s="145" t="s">
        <v>229</v>
      </c>
      <c r="M2" s="145"/>
      <c r="N2" s="145"/>
      <c r="O2" s="145"/>
      <c r="P2" s="145"/>
      <c r="Q2" s="145"/>
      <c r="R2" s="145"/>
      <c r="S2" s="145"/>
    </row>
    <row r="3" spans="1:19">
      <c r="A3" s="147" t="s">
        <v>2</v>
      </c>
      <c r="B3" s="147"/>
      <c r="C3" s="147"/>
      <c r="D3" s="147"/>
      <c r="E3" s="147"/>
      <c r="F3" s="147"/>
      <c r="G3" s="147"/>
      <c r="H3" s="147"/>
      <c r="L3" s="145" t="s">
        <v>2</v>
      </c>
      <c r="M3" s="145"/>
      <c r="N3" s="145"/>
      <c r="O3" s="145"/>
      <c r="P3" s="145"/>
      <c r="Q3" s="145"/>
      <c r="R3" s="145"/>
      <c r="S3" s="145"/>
    </row>
    <row r="4" spans="1:19">
      <c r="A4" s="147" t="s">
        <v>230</v>
      </c>
      <c r="B4" s="147"/>
      <c r="C4" s="147"/>
      <c r="D4" s="147"/>
      <c r="E4" s="147"/>
      <c r="F4" s="147"/>
      <c r="G4" s="147"/>
      <c r="H4" s="147"/>
      <c r="L4" s="145" t="s">
        <v>230</v>
      </c>
      <c r="M4" s="145"/>
      <c r="N4" s="145"/>
      <c r="O4" s="145"/>
      <c r="P4" s="145"/>
      <c r="Q4" s="145"/>
      <c r="R4" s="145"/>
      <c r="S4" s="145"/>
    </row>
    <row r="5" spans="1:19">
      <c r="A5" s="150" t="s">
        <v>231</v>
      </c>
      <c r="B5" s="150"/>
      <c r="C5" s="150"/>
      <c r="D5" s="150"/>
      <c r="E5" s="150"/>
      <c r="F5" s="150"/>
      <c r="G5" s="150"/>
      <c r="H5" s="150"/>
      <c r="L5" s="150" t="s">
        <v>231</v>
      </c>
      <c r="M5" s="150"/>
      <c r="N5" s="150"/>
      <c r="O5" s="150"/>
      <c r="P5" s="150"/>
      <c r="Q5" s="150"/>
      <c r="R5" s="150"/>
      <c r="S5" s="150"/>
    </row>
    <row r="6" spans="1:19">
      <c r="B6" s="27" t="s">
        <v>6</v>
      </c>
      <c r="C6" s="9" t="s">
        <v>7</v>
      </c>
      <c r="D6" s="9" t="s">
        <v>8</v>
      </c>
      <c r="E6" s="27" t="s">
        <v>9</v>
      </c>
      <c r="F6" s="27" t="s">
        <v>7</v>
      </c>
      <c r="G6" s="27" t="s">
        <v>8</v>
      </c>
      <c r="H6" s="27" t="s">
        <v>10</v>
      </c>
      <c r="M6" s="27" t="s">
        <v>6</v>
      </c>
      <c r="N6" s="9" t="s">
        <v>7</v>
      </c>
      <c r="O6" s="9" t="s">
        <v>8</v>
      </c>
      <c r="P6" s="27" t="s">
        <v>9</v>
      </c>
      <c r="Q6" s="27" t="s">
        <v>7</v>
      </c>
      <c r="R6" s="27" t="s">
        <v>8</v>
      </c>
      <c r="S6" s="27" t="s">
        <v>10</v>
      </c>
    </row>
    <row r="7" spans="1:19">
      <c r="A7" s="1" t="s">
        <v>232</v>
      </c>
      <c r="B7" s="33"/>
      <c r="L7" t="s">
        <v>232</v>
      </c>
      <c r="M7" s="33"/>
    </row>
    <row r="8" spans="1:19">
      <c r="A8" t="s">
        <v>201</v>
      </c>
      <c r="B8" s="132">
        <f>M8/$J$8</f>
        <v>6230</v>
      </c>
      <c r="C8" s="46">
        <f>B8-E8</f>
        <v>-598</v>
      </c>
      <c r="D8" s="47">
        <f>C8/E8</f>
        <v>-8.758055067369655E-2</v>
      </c>
      <c r="E8" s="132">
        <f>P8/$J$8</f>
        <v>6828</v>
      </c>
      <c r="F8" s="58">
        <f>E8-H8</f>
        <v>5240</v>
      </c>
      <c r="G8" s="47">
        <f>F8/H8</f>
        <v>3.2997481108312341</v>
      </c>
      <c r="H8" s="132">
        <f>S8/$J$8</f>
        <v>1588</v>
      </c>
      <c r="J8" s="34">
        <v>1000000</v>
      </c>
      <c r="L8" t="s">
        <v>201</v>
      </c>
      <c r="M8" s="34">
        <v>6230000000</v>
      </c>
      <c r="P8" s="11">
        <v>6828000000</v>
      </c>
      <c r="S8" s="11">
        <v>1588000000</v>
      </c>
    </row>
    <row r="9" spans="1:19">
      <c r="A9" t="s">
        <v>202</v>
      </c>
      <c r="B9" s="76">
        <f t="shared" ref="B9:B51" si="0">M9/$J$8</f>
        <v>87</v>
      </c>
      <c r="C9" s="48">
        <f t="shared" ref="C9:C52" si="1">B9-E9</f>
        <v>24</v>
      </c>
      <c r="D9" s="47">
        <f t="shared" ref="D9:D51" si="2">C9/E9</f>
        <v>0.38095238095238093</v>
      </c>
      <c r="E9" s="76">
        <f t="shared" ref="E9:E51" si="3">P9/$J$8</f>
        <v>63</v>
      </c>
      <c r="F9" s="48">
        <f t="shared" ref="F9:F52" si="4">E9-H9</f>
        <v>20</v>
      </c>
      <c r="G9" s="47">
        <f t="shared" ref="G9:G52" si="5">F9/H9</f>
        <v>0.46511627906976744</v>
      </c>
      <c r="H9" s="76">
        <f t="shared" ref="H9:H51" si="6">S9/$J$8</f>
        <v>43</v>
      </c>
      <c r="L9" t="s">
        <v>202</v>
      </c>
      <c r="M9" s="12">
        <v>87000000</v>
      </c>
      <c r="P9" s="12">
        <v>63000000</v>
      </c>
      <c r="S9" s="12">
        <v>43000000</v>
      </c>
    </row>
    <row r="10" spans="1:19">
      <c r="A10" t="s">
        <v>203</v>
      </c>
      <c r="B10" s="76">
        <f>B8-B9</f>
        <v>6143</v>
      </c>
      <c r="C10" s="48">
        <f t="shared" si="1"/>
        <v>-622</v>
      </c>
      <c r="D10" s="47">
        <f t="shared" si="2"/>
        <v>-9.1943828529194388E-2</v>
      </c>
      <c r="E10" s="76">
        <f>E8-E9</f>
        <v>6765</v>
      </c>
      <c r="F10" s="48">
        <f t="shared" si="4"/>
        <v>5220</v>
      </c>
      <c r="G10" s="47">
        <f t="shared" si="5"/>
        <v>3.378640776699029</v>
      </c>
      <c r="H10" s="76">
        <f>H8-H9</f>
        <v>1545</v>
      </c>
      <c r="L10" t="s">
        <v>203</v>
      </c>
      <c r="M10" s="12">
        <v>6143000000</v>
      </c>
      <c r="P10" s="12">
        <v>6765000000</v>
      </c>
      <c r="S10" s="12">
        <v>1545000000</v>
      </c>
    </row>
    <row r="11" spans="1:19">
      <c r="A11" s="1" t="s">
        <v>233</v>
      </c>
      <c r="B11" s="76"/>
      <c r="C11" s="48"/>
      <c r="D11" s="54"/>
      <c r="E11" s="76"/>
      <c r="F11" s="48"/>
      <c r="G11" s="54"/>
      <c r="H11" s="76"/>
      <c r="L11" t="s">
        <v>233</v>
      </c>
      <c r="M11" s="12"/>
    </row>
    <row r="12" spans="1:19">
      <c r="A12" t="s">
        <v>234</v>
      </c>
      <c r="B12" s="76">
        <f t="shared" si="0"/>
        <v>673</v>
      </c>
      <c r="C12" s="48">
        <f t="shared" si="1"/>
        <v>-48</v>
      </c>
      <c r="D12" s="47">
        <f t="shared" si="2"/>
        <v>-6.6574202496532592E-2</v>
      </c>
      <c r="E12" s="76">
        <f t="shared" si="3"/>
        <v>721</v>
      </c>
      <c r="F12" s="48">
        <f t="shared" si="4"/>
        <v>4</v>
      </c>
      <c r="G12" s="47">
        <f t="shared" si="5"/>
        <v>5.5788005578800556E-3</v>
      </c>
      <c r="H12" s="76">
        <f t="shared" si="6"/>
        <v>717</v>
      </c>
      <c r="L12" t="s">
        <v>234</v>
      </c>
      <c r="M12" s="12">
        <v>673000000</v>
      </c>
      <c r="P12" s="12">
        <v>721000000</v>
      </c>
      <c r="S12" s="12">
        <v>717000000</v>
      </c>
    </row>
    <row r="13" spans="1:19">
      <c r="A13" t="s">
        <v>235</v>
      </c>
      <c r="B13" s="76">
        <f t="shared" si="0"/>
        <v>415</v>
      </c>
      <c r="C13" s="48">
        <f t="shared" si="1"/>
        <v>20</v>
      </c>
      <c r="D13" s="47">
        <f t="shared" si="2"/>
        <v>5.0632911392405063E-2</v>
      </c>
      <c r="E13" s="76">
        <f t="shared" si="3"/>
        <v>395</v>
      </c>
      <c r="F13" s="48">
        <f t="shared" si="4"/>
        <v>-3</v>
      </c>
      <c r="G13" s="47">
        <f t="shared" si="5"/>
        <v>-7.537688442211055E-3</v>
      </c>
      <c r="H13" s="76">
        <f t="shared" si="6"/>
        <v>398</v>
      </c>
      <c r="L13" t="s">
        <v>235</v>
      </c>
      <c r="M13" s="12">
        <v>415000000</v>
      </c>
      <c r="P13" s="12">
        <v>395000000</v>
      </c>
      <c r="S13" s="12">
        <v>398000000</v>
      </c>
    </row>
    <row r="14" spans="1:19">
      <c r="A14" t="s">
        <v>236</v>
      </c>
      <c r="B14" s="76">
        <f t="shared" si="0"/>
        <v>1</v>
      </c>
      <c r="C14" s="48">
        <f t="shared" si="1"/>
        <v>1</v>
      </c>
      <c r="D14" s="54"/>
      <c r="E14" s="76"/>
      <c r="F14" s="48">
        <f t="shared" si="4"/>
        <v>-7</v>
      </c>
      <c r="G14" s="47">
        <f>F14/H14</f>
        <v>-1</v>
      </c>
      <c r="H14" s="76">
        <f t="shared" si="6"/>
        <v>7</v>
      </c>
      <c r="L14" t="s">
        <v>236</v>
      </c>
      <c r="M14" s="12">
        <v>1000000</v>
      </c>
      <c r="P14">
        <v>0</v>
      </c>
      <c r="S14" s="12">
        <v>7000000</v>
      </c>
    </row>
    <row r="15" spans="1:19">
      <c r="A15" t="s">
        <v>237</v>
      </c>
      <c r="B15" s="76">
        <f t="shared" si="0"/>
        <v>546</v>
      </c>
      <c r="C15" s="48">
        <f t="shared" si="1"/>
        <v>-545</v>
      </c>
      <c r="D15" s="47">
        <f t="shared" si="2"/>
        <v>-0.49954170485792848</v>
      </c>
      <c r="E15" s="76">
        <f t="shared" si="3"/>
        <v>1091</v>
      </c>
      <c r="F15" s="48">
        <f t="shared" si="4"/>
        <v>118</v>
      </c>
      <c r="G15" s="47">
        <f t="shared" si="5"/>
        <v>0.12127440904419322</v>
      </c>
      <c r="H15" s="76">
        <f t="shared" si="6"/>
        <v>973</v>
      </c>
      <c r="L15" t="s">
        <v>237</v>
      </c>
      <c r="M15" s="12">
        <v>546000000</v>
      </c>
      <c r="P15" s="12">
        <v>1091000000</v>
      </c>
      <c r="S15" s="12">
        <v>973000000</v>
      </c>
    </row>
    <row r="16" spans="1:19">
      <c r="A16" t="s">
        <v>238</v>
      </c>
      <c r="B16" s="76">
        <f t="shared" si="0"/>
        <v>-376</v>
      </c>
      <c r="C16" s="48">
        <f t="shared" si="1"/>
        <v>276</v>
      </c>
      <c r="D16" s="47">
        <f t="shared" si="2"/>
        <v>-0.42331288343558282</v>
      </c>
      <c r="E16" s="76">
        <f t="shared" si="3"/>
        <v>-652</v>
      </c>
      <c r="F16" s="48">
        <f t="shared" si="4"/>
        <v>-24</v>
      </c>
      <c r="G16" s="47">
        <f t="shared" si="5"/>
        <v>3.8216560509554139E-2</v>
      </c>
      <c r="H16" s="76">
        <f t="shared" si="6"/>
        <v>-628</v>
      </c>
      <c r="L16" t="s">
        <v>238</v>
      </c>
      <c r="M16" s="12">
        <v>-376000000</v>
      </c>
      <c r="P16" s="12">
        <v>-652000000</v>
      </c>
      <c r="S16" s="12">
        <v>-628000000</v>
      </c>
    </row>
    <row r="17" spans="1:19">
      <c r="A17" t="s">
        <v>239</v>
      </c>
      <c r="B17" s="76">
        <f t="shared" si="0"/>
        <v>-516</v>
      </c>
      <c r="C17" s="48">
        <f t="shared" si="1"/>
        <v>471</v>
      </c>
      <c r="D17" s="47">
        <f t="shared" si="2"/>
        <v>-0.47720364741641336</v>
      </c>
      <c r="E17" s="76">
        <f t="shared" si="3"/>
        <v>-987</v>
      </c>
      <c r="F17" s="48">
        <f t="shared" si="4"/>
        <v>-340</v>
      </c>
      <c r="G17" s="47">
        <f t="shared" si="5"/>
        <v>0.5255023183925811</v>
      </c>
      <c r="H17" s="76">
        <f t="shared" si="6"/>
        <v>-647</v>
      </c>
      <c r="L17" t="s">
        <v>239</v>
      </c>
      <c r="M17" s="12">
        <v>-516000000</v>
      </c>
      <c r="P17" s="12">
        <v>-987000000</v>
      </c>
      <c r="S17" s="12">
        <v>-647000000</v>
      </c>
    </row>
    <row r="18" spans="1:19">
      <c r="A18" t="s">
        <v>240</v>
      </c>
      <c r="B18" s="76">
        <f t="shared" si="0"/>
        <v>-78</v>
      </c>
      <c r="C18" s="48">
        <f t="shared" si="1"/>
        <v>2</v>
      </c>
      <c r="D18" s="47">
        <f t="shared" si="2"/>
        <v>-2.5000000000000001E-2</v>
      </c>
      <c r="E18" s="76">
        <f t="shared" si="3"/>
        <v>-80</v>
      </c>
      <c r="F18" s="48">
        <f t="shared" si="4"/>
        <v>26</v>
      </c>
      <c r="G18" s="47">
        <f t="shared" si="5"/>
        <v>-0.24528301886792453</v>
      </c>
      <c r="H18" s="76">
        <f t="shared" si="6"/>
        <v>-106</v>
      </c>
      <c r="L18" t="s">
        <v>240</v>
      </c>
      <c r="M18" s="12">
        <v>-78000000</v>
      </c>
      <c r="P18" s="12">
        <v>-80000000</v>
      </c>
      <c r="S18" s="12">
        <v>-106000000</v>
      </c>
    </row>
    <row r="19" spans="1:19">
      <c r="A19" t="s">
        <v>241</v>
      </c>
      <c r="B19" s="76">
        <f t="shared" si="0"/>
        <v>153</v>
      </c>
      <c r="C19" s="48">
        <f t="shared" si="1"/>
        <v>-22</v>
      </c>
      <c r="D19" s="47">
        <f t="shared" si="2"/>
        <v>-0.12571428571428572</v>
      </c>
      <c r="E19" s="76">
        <f t="shared" si="3"/>
        <v>175</v>
      </c>
      <c r="F19" s="48">
        <f t="shared" si="4"/>
        <v>-1</v>
      </c>
      <c r="G19" s="47">
        <f t="shared" si="5"/>
        <v>-5.681818181818182E-3</v>
      </c>
      <c r="H19" s="76">
        <f t="shared" si="6"/>
        <v>176</v>
      </c>
      <c r="L19" t="s">
        <v>241</v>
      </c>
      <c r="M19" s="12">
        <v>153000000</v>
      </c>
      <c r="P19" s="12">
        <v>175000000</v>
      </c>
      <c r="S19" s="12">
        <v>176000000</v>
      </c>
    </row>
    <row r="20" spans="1:19">
      <c r="A20" t="s">
        <v>88</v>
      </c>
      <c r="B20" s="76">
        <f t="shared" si="0"/>
        <v>179</v>
      </c>
      <c r="C20" s="48">
        <f t="shared" si="1"/>
        <v>765</v>
      </c>
      <c r="D20" s="47">
        <f t="shared" si="2"/>
        <v>-1.3054607508532423</v>
      </c>
      <c r="E20" s="76">
        <f t="shared" si="3"/>
        <v>-586</v>
      </c>
      <c r="F20" s="48">
        <f t="shared" si="4"/>
        <v>-3038</v>
      </c>
      <c r="G20" s="47">
        <f t="shared" si="5"/>
        <v>-1.2389885807504077</v>
      </c>
      <c r="H20" s="76">
        <f t="shared" si="6"/>
        <v>2452</v>
      </c>
      <c r="L20" t="s">
        <v>88</v>
      </c>
      <c r="M20" s="12">
        <v>179000000</v>
      </c>
      <c r="P20" s="12">
        <v>-586000000</v>
      </c>
      <c r="S20" s="12">
        <v>2452000000</v>
      </c>
    </row>
    <row r="21" spans="1:19">
      <c r="A21" t="s">
        <v>242</v>
      </c>
      <c r="B21" s="76">
        <f t="shared" si="0"/>
        <v>-287</v>
      </c>
      <c r="C21" s="48">
        <f t="shared" si="1"/>
        <v>407</v>
      </c>
      <c r="D21" s="47">
        <f t="shared" si="2"/>
        <v>-0.58645533141210371</v>
      </c>
      <c r="E21" s="76">
        <f t="shared" si="3"/>
        <v>-694</v>
      </c>
      <c r="F21" s="48">
        <f t="shared" si="4"/>
        <v>-2336</v>
      </c>
      <c r="G21" s="47">
        <f t="shared" si="5"/>
        <v>-1.4226552984165652</v>
      </c>
      <c r="H21" s="76">
        <f t="shared" si="6"/>
        <v>1642</v>
      </c>
      <c r="L21" t="s">
        <v>242</v>
      </c>
      <c r="M21" s="12">
        <v>-287000000</v>
      </c>
      <c r="P21" s="12">
        <v>-694000000</v>
      </c>
      <c r="S21" s="12">
        <v>1642000000</v>
      </c>
    </row>
    <row r="22" spans="1:19">
      <c r="A22" s="1" t="s">
        <v>243</v>
      </c>
      <c r="B22" s="76"/>
      <c r="C22" s="48"/>
      <c r="D22" s="54"/>
      <c r="E22" s="76"/>
      <c r="F22" s="48"/>
      <c r="G22" s="54"/>
      <c r="H22" s="76"/>
      <c r="L22" t="s">
        <v>243</v>
      </c>
      <c r="M22" s="12"/>
    </row>
    <row r="23" spans="1:19">
      <c r="A23" t="s">
        <v>92</v>
      </c>
      <c r="B23" s="76">
        <f t="shared" si="0"/>
        <v>11</v>
      </c>
      <c r="C23" s="48">
        <f t="shared" si="1"/>
        <v>247</v>
      </c>
      <c r="D23" s="47">
        <f t="shared" si="2"/>
        <v>-1.0466101694915255</v>
      </c>
      <c r="E23" s="76">
        <f t="shared" si="3"/>
        <v>-236</v>
      </c>
      <c r="F23" s="48">
        <f t="shared" si="4"/>
        <v>446</v>
      </c>
      <c r="G23" s="47">
        <f t="shared" si="5"/>
        <v>-0.6539589442815249</v>
      </c>
      <c r="H23" s="76">
        <f t="shared" si="6"/>
        <v>-682</v>
      </c>
      <c r="L23" t="s">
        <v>92</v>
      </c>
      <c r="M23" s="12">
        <v>11000000</v>
      </c>
      <c r="P23" s="12">
        <v>-236000000</v>
      </c>
      <c r="S23" s="12">
        <v>-682000000</v>
      </c>
    </row>
    <row r="24" spans="1:19">
      <c r="A24" t="s">
        <v>40</v>
      </c>
      <c r="B24" s="76">
        <f t="shared" si="0"/>
        <v>-100</v>
      </c>
      <c r="C24" s="48">
        <f t="shared" si="1"/>
        <v>403</v>
      </c>
      <c r="D24" s="47">
        <f t="shared" si="2"/>
        <v>-0.80119284294234594</v>
      </c>
      <c r="E24" s="76">
        <f t="shared" si="3"/>
        <v>-503</v>
      </c>
      <c r="F24" s="48">
        <f t="shared" si="4"/>
        <v>-244</v>
      </c>
      <c r="G24" s="47">
        <f t="shared" si="5"/>
        <v>0.94208494208494209</v>
      </c>
      <c r="H24" s="76">
        <f t="shared" si="6"/>
        <v>-259</v>
      </c>
      <c r="L24" t="s">
        <v>40</v>
      </c>
      <c r="M24" s="12">
        <v>-100000000</v>
      </c>
      <c r="P24" s="12">
        <v>-503000000</v>
      </c>
      <c r="S24" s="12">
        <v>-259000000</v>
      </c>
    </row>
    <row r="25" spans="1:19">
      <c r="A25" t="s">
        <v>46</v>
      </c>
      <c r="B25" s="76">
        <f t="shared" si="0"/>
        <v>-430</v>
      </c>
      <c r="C25" s="48">
        <f t="shared" si="1"/>
        <v>-648</v>
      </c>
      <c r="D25" s="47">
        <f t="shared" si="2"/>
        <v>-2.9724770642201834</v>
      </c>
      <c r="E25" s="76">
        <f t="shared" si="3"/>
        <v>218</v>
      </c>
      <c r="F25" s="48">
        <f t="shared" si="4"/>
        <v>786</v>
      </c>
      <c r="G25" s="47">
        <f t="shared" si="5"/>
        <v>-1.3838028169014085</v>
      </c>
      <c r="H25" s="76">
        <f t="shared" si="6"/>
        <v>-568</v>
      </c>
      <c r="L25" t="s">
        <v>46</v>
      </c>
      <c r="M25" s="12">
        <v>-430000000</v>
      </c>
      <c r="P25" s="12">
        <v>218000000</v>
      </c>
      <c r="S25" s="12">
        <v>-568000000</v>
      </c>
    </row>
    <row r="26" spans="1:19">
      <c r="A26" t="s">
        <v>58</v>
      </c>
      <c r="B26" s="76">
        <f t="shared" si="0"/>
        <v>118</v>
      </c>
      <c r="C26" s="48">
        <f t="shared" si="1"/>
        <v>-615</v>
      </c>
      <c r="D26" s="47">
        <f t="shared" si="2"/>
        <v>-0.83901773533424284</v>
      </c>
      <c r="E26" s="76">
        <f t="shared" si="3"/>
        <v>733</v>
      </c>
      <c r="F26" s="48">
        <f t="shared" si="4"/>
        <v>-191</v>
      </c>
      <c r="G26" s="47">
        <f t="shared" si="5"/>
        <v>-0.2067099567099567</v>
      </c>
      <c r="H26" s="76">
        <f t="shared" si="6"/>
        <v>924</v>
      </c>
      <c r="L26" t="s">
        <v>58</v>
      </c>
      <c r="M26" s="12">
        <v>118000000</v>
      </c>
      <c r="P26" s="12">
        <v>733000000</v>
      </c>
      <c r="S26" s="12">
        <v>924000000</v>
      </c>
    </row>
    <row r="27" spans="1:19">
      <c r="A27" t="s">
        <v>217</v>
      </c>
      <c r="B27" s="76">
        <f t="shared" si="0"/>
        <v>445</v>
      </c>
      <c r="C27" s="48">
        <f t="shared" si="1"/>
        <v>371</v>
      </c>
      <c r="D27" s="47">
        <f t="shared" si="2"/>
        <v>5.0135135135135132</v>
      </c>
      <c r="E27" s="76">
        <f t="shared" si="3"/>
        <v>74</v>
      </c>
      <c r="F27" s="48">
        <f t="shared" si="4"/>
        <v>52</v>
      </c>
      <c r="G27" s="47">
        <f t="shared" si="5"/>
        <v>2.3636363636363638</v>
      </c>
      <c r="H27" s="76">
        <f t="shared" si="6"/>
        <v>22</v>
      </c>
      <c r="L27" t="s">
        <v>217</v>
      </c>
      <c r="M27" s="12">
        <v>445000000</v>
      </c>
      <c r="P27" s="12">
        <v>74000000</v>
      </c>
      <c r="S27" s="12">
        <v>22000000</v>
      </c>
    </row>
    <row r="28" spans="1:19">
      <c r="A28" t="s">
        <v>244</v>
      </c>
      <c r="B28" s="88">
        <f>SUM(B10:B27)</f>
        <v>6897</v>
      </c>
      <c r="C28" s="151">
        <f t="shared" si="1"/>
        <v>463</v>
      </c>
      <c r="D28" s="55">
        <f t="shared" si="2"/>
        <v>7.1961454771526268E-2</v>
      </c>
      <c r="E28" s="88">
        <f>SUM(E10:E27)</f>
        <v>6434</v>
      </c>
      <c r="F28" s="151">
        <f t="shared" si="4"/>
        <v>468</v>
      </c>
      <c r="G28" s="55">
        <f t="shared" si="5"/>
        <v>7.844451894066376E-2</v>
      </c>
      <c r="H28" s="88">
        <f>SUM(H10:H27)</f>
        <v>5966</v>
      </c>
      <c r="L28" t="s">
        <v>244</v>
      </c>
      <c r="M28" s="12">
        <v>6897000000</v>
      </c>
      <c r="P28" s="12">
        <v>6434000000</v>
      </c>
      <c r="S28" s="12">
        <v>5966000000</v>
      </c>
    </row>
    <row r="29" spans="1:19">
      <c r="A29" s="1" t="s">
        <v>245</v>
      </c>
      <c r="B29" s="76"/>
      <c r="C29" s="48"/>
      <c r="D29" s="54"/>
      <c r="E29" s="76"/>
      <c r="F29" s="48"/>
      <c r="G29" s="54"/>
      <c r="H29" s="76"/>
      <c r="L29" t="s">
        <v>246</v>
      </c>
      <c r="M29" s="12"/>
    </row>
    <row r="30" spans="1:19">
      <c r="A30" t="s">
        <v>247</v>
      </c>
      <c r="B30" s="76">
        <f t="shared" si="0"/>
        <v>-839</v>
      </c>
      <c r="C30" s="48">
        <f t="shared" si="1"/>
        <v>-11</v>
      </c>
      <c r="D30" s="47">
        <f t="shared" si="2"/>
        <v>1.3285024154589372E-2</v>
      </c>
      <c r="E30" s="76">
        <f t="shared" si="3"/>
        <v>-828</v>
      </c>
      <c r="F30" s="48">
        <f t="shared" si="4"/>
        <v>203</v>
      </c>
      <c r="G30" s="47">
        <f t="shared" si="5"/>
        <v>-0.19689621726479145</v>
      </c>
      <c r="H30" s="76">
        <f t="shared" si="6"/>
        <v>-1031</v>
      </c>
      <c r="L30" t="s">
        <v>247</v>
      </c>
      <c r="M30" s="12">
        <v>-839000000</v>
      </c>
      <c r="P30" s="12">
        <v>-828000000</v>
      </c>
      <c r="S30" s="12">
        <v>-1031000000</v>
      </c>
    </row>
    <row r="31" spans="1:19">
      <c r="A31" t="s">
        <v>248</v>
      </c>
      <c r="B31" s="76">
        <f t="shared" si="0"/>
        <v>43</v>
      </c>
      <c r="C31" s="48">
        <f t="shared" si="1"/>
        <v>28</v>
      </c>
      <c r="D31" s="47">
        <f t="shared" si="2"/>
        <v>1.8666666666666667</v>
      </c>
      <c r="E31" s="76">
        <f t="shared" si="3"/>
        <v>15</v>
      </c>
      <c r="F31" s="48">
        <f t="shared" si="4"/>
        <v>-71</v>
      </c>
      <c r="G31" s="47">
        <f t="shared" si="5"/>
        <v>-0.82558139534883723</v>
      </c>
      <c r="H31" s="76">
        <f t="shared" si="6"/>
        <v>86</v>
      </c>
      <c r="L31" t="s">
        <v>248</v>
      </c>
      <c r="M31" s="12">
        <v>43000000</v>
      </c>
      <c r="P31" s="12">
        <v>15000000</v>
      </c>
      <c r="S31" s="12">
        <v>86000000</v>
      </c>
    </row>
    <row r="32" spans="1:19">
      <c r="A32" t="s">
        <v>249</v>
      </c>
      <c r="B32" s="76">
        <f t="shared" si="0"/>
        <v>-4253</v>
      </c>
      <c r="C32" s="48">
        <f t="shared" si="1"/>
        <v>-194</v>
      </c>
      <c r="D32" s="47">
        <f t="shared" si="2"/>
        <v>4.7795023404779501E-2</v>
      </c>
      <c r="E32" s="76">
        <f t="shared" si="3"/>
        <v>-4059</v>
      </c>
      <c r="F32" s="48">
        <f t="shared" si="4"/>
        <v>2684</v>
      </c>
      <c r="G32" s="47">
        <f t="shared" si="5"/>
        <v>-0.39804241435562804</v>
      </c>
      <c r="H32" s="76">
        <f t="shared" si="6"/>
        <v>-6743</v>
      </c>
      <c r="L32" t="s">
        <v>249</v>
      </c>
      <c r="M32" s="12">
        <v>-4253000000</v>
      </c>
      <c r="P32" s="12">
        <v>-4059000000</v>
      </c>
      <c r="S32" s="12">
        <v>-6743000000</v>
      </c>
    </row>
    <row r="33" spans="1:19">
      <c r="A33" t="s">
        <v>250</v>
      </c>
      <c r="B33" s="76">
        <f t="shared" si="0"/>
        <v>4464</v>
      </c>
      <c r="C33" s="48">
        <f t="shared" si="1"/>
        <v>-1568</v>
      </c>
      <c r="D33" s="47">
        <f t="shared" si="2"/>
        <v>-0.259946949602122</v>
      </c>
      <c r="E33" s="76">
        <f t="shared" si="3"/>
        <v>6032</v>
      </c>
      <c r="F33" s="48">
        <f t="shared" si="4"/>
        <v>1618</v>
      </c>
      <c r="G33" s="47">
        <f t="shared" si="5"/>
        <v>0.36656094245582238</v>
      </c>
      <c r="H33" s="76">
        <f t="shared" si="6"/>
        <v>4414</v>
      </c>
      <c r="L33" t="s">
        <v>250</v>
      </c>
      <c r="M33" s="12">
        <v>4464000000</v>
      </c>
      <c r="P33" s="12">
        <v>6032000000</v>
      </c>
      <c r="S33" s="12">
        <v>4414000000</v>
      </c>
    </row>
    <row r="34" spans="1:19">
      <c r="A34" t="s">
        <v>251</v>
      </c>
      <c r="B34" s="76">
        <f t="shared" si="0"/>
        <v>-50</v>
      </c>
      <c r="C34" s="48">
        <f t="shared" si="1"/>
        <v>485</v>
      </c>
      <c r="D34" s="47">
        <f t="shared" si="2"/>
        <v>-0.90654205607476634</v>
      </c>
      <c r="E34" s="76">
        <f t="shared" si="3"/>
        <v>-535</v>
      </c>
      <c r="F34" s="48">
        <f t="shared" si="4"/>
        <v>-453</v>
      </c>
      <c r="G34" s="47">
        <f t="shared" si="5"/>
        <v>5.524390243902439</v>
      </c>
      <c r="H34" s="76">
        <f t="shared" si="6"/>
        <v>-82</v>
      </c>
      <c r="L34" t="s">
        <v>251</v>
      </c>
      <c r="M34" s="12">
        <v>-50000000</v>
      </c>
      <c r="P34" s="12">
        <v>-535000000</v>
      </c>
      <c r="S34" s="12">
        <v>-82000000</v>
      </c>
    </row>
    <row r="35" spans="1:19">
      <c r="A35" t="s">
        <v>242</v>
      </c>
      <c r="B35" s="76">
        <f t="shared" si="0"/>
        <v>102</v>
      </c>
      <c r="C35" s="48">
        <f t="shared" si="1"/>
        <v>-300</v>
      </c>
      <c r="D35" s="47">
        <f t="shared" si="2"/>
        <v>-0.74626865671641796</v>
      </c>
      <c r="E35" s="76">
        <f t="shared" si="3"/>
        <v>402</v>
      </c>
      <c r="F35" s="48">
        <f t="shared" si="4"/>
        <v>620</v>
      </c>
      <c r="G35" s="47">
        <f t="shared" si="5"/>
        <v>-2.8440366972477062</v>
      </c>
      <c r="H35" s="76">
        <f t="shared" si="6"/>
        <v>-218</v>
      </c>
      <c r="L35" t="s">
        <v>242</v>
      </c>
      <c r="M35" s="12">
        <v>102000000</v>
      </c>
      <c r="P35" s="12">
        <v>402000000</v>
      </c>
      <c r="S35" s="12">
        <v>-218000000</v>
      </c>
    </row>
    <row r="36" spans="1:19">
      <c r="A36" t="s">
        <v>252</v>
      </c>
      <c r="B36" s="88">
        <f>SUM(B30:B35)</f>
        <v>-533</v>
      </c>
      <c r="C36" s="151">
        <f t="shared" si="1"/>
        <v>-1560</v>
      </c>
      <c r="D36" s="55">
        <f t="shared" si="2"/>
        <v>-1.518987341772152</v>
      </c>
      <c r="E36" s="88">
        <f>SUM(E30:E35)</f>
        <v>1027</v>
      </c>
      <c r="F36" s="151">
        <f t="shared" si="4"/>
        <v>4601</v>
      </c>
      <c r="G36" s="55">
        <f t="shared" si="5"/>
        <v>-1.2873531057638501</v>
      </c>
      <c r="H36" s="88">
        <f>SUM(H30:H35)</f>
        <v>-3574</v>
      </c>
      <c r="L36" t="s">
        <v>252</v>
      </c>
      <c r="M36" s="12">
        <v>-533000000</v>
      </c>
      <c r="P36" s="12">
        <v>1027000000</v>
      </c>
      <c r="S36" s="12">
        <v>-3574000000</v>
      </c>
    </row>
    <row r="37" spans="1:19">
      <c r="A37" s="1" t="s">
        <v>253</v>
      </c>
      <c r="B37" s="76"/>
      <c r="C37" s="48"/>
      <c r="D37" s="54"/>
      <c r="E37" s="76"/>
      <c r="F37" s="48"/>
      <c r="G37" s="54"/>
      <c r="H37" s="76"/>
      <c r="L37" t="s">
        <v>253</v>
      </c>
      <c r="M37" s="12"/>
    </row>
    <row r="38" spans="1:19">
      <c r="A38" t="s">
        <v>254</v>
      </c>
      <c r="B38" s="76">
        <f t="shared" si="0"/>
        <v>14199</v>
      </c>
      <c r="C38" s="48">
        <f t="shared" si="1"/>
        <v>-9692</v>
      </c>
      <c r="D38" s="47">
        <f t="shared" si="2"/>
        <v>-0.40567577748943118</v>
      </c>
      <c r="E38" s="76">
        <f t="shared" si="3"/>
        <v>23891</v>
      </c>
      <c r="F38" s="48">
        <f t="shared" si="4"/>
        <v>10190</v>
      </c>
      <c r="G38" s="47">
        <f t="shared" si="5"/>
        <v>0.74374133274943433</v>
      </c>
      <c r="H38" s="76">
        <f t="shared" si="6"/>
        <v>13701</v>
      </c>
      <c r="L38" t="s">
        <v>254</v>
      </c>
      <c r="M38" s="12">
        <v>14199000000</v>
      </c>
      <c r="P38" s="12">
        <v>23891000000</v>
      </c>
      <c r="S38" s="12">
        <v>13701000000</v>
      </c>
    </row>
    <row r="39" spans="1:19">
      <c r="A39" t="s">
        <v>255</v>
      </c>
      <c r="B39" s="76">
        <f t="shared" si="0"/>
        <v>-14199</v>
      </c>
      <c r="C39" s="48">
        <f t="shared" si="1"/>
        <v>9896</v>
      </c>
      <c r="D39" s="47">
        <f t="shared" si="2"/>
        <v>-0.41070761568790204</v>
      </c>
      <c r="E39" s="76">
        <f t="shared" si="3"/>
        <v>-24095</v>
      </c>
      <c r="F39" s="48">
        <f t="shared" si="4"/>
        <v>-10563</v>
      </c>
      <c r="G39" s="47">
        <f t="shared" si="5"/>
        <v>0.78059414720662135</v>
      </c>
      <c r="H39" s="76">
        <f t="shared" si="6"/>
        <v>-13532</v>
      </c>
      <c r="L39" t="s">
        <v>255</v>
      </c>
      <c r="M39" s="12">
        <v>-14199000000</v>
      </c>
      <c r="P39" s="12">
        <v>-24095000000</v>
      </c>
      <c r="S39" s="12">
        <v>-13532000000</v>
      </c>
    </row>
    <row r="40" spans="1:19">
      <c r="A40" t="s">
        <v>256</v>
      </c>
      <c r="B40" s="76">
        <f t="shared" si="0"/>
        <v>498</v>
      </c>
      <c r="C40" s="48">
        <f t="shared" si="1"/>
        <v>231</v>
      </c>
      <c r="D40" s="47">
        <f t="shared" si="2"/>
        <v>0.8651685393258427</v>
      </c>
      <c r="E40" s="76">
        <f t="shared" si="3"/>
        <v>267</v>
      </c>
      <c r="F40" s="48">
        <f t="shared" si="4"/>
        <v>-253</v>
      </c>
      <c r="G40" s="47">
        <f t="shared" si="5"/>
        <v>-0.48653846153846153</v>
      </c>
      <c r="H40" s="76">
        <f t="shared" si="6"/>
        <v>520</v>
      </c>
      <c r="L40" t="s">
        <v>256</v>
      </c>
      <c r="M40" s="12">
        <v>498000000</v>
      </c>
      <c r="P40" s="12">
        <v>267000000</v>
      </c>
      <c r="S40" s="12">
        <v>520000000</v>
      </c>
    </row>
    <row r="41" spans="1:19">
      <c r="A41" t="s">
        <v>257</v>
      </c>
      <c r="B41" s="76">
        <f t="shared" si="0"/>
        <v>2726</v>
      </c>
      <c r="C41" s="48">
        <f t="shared" si="1"/>
        <v>2699</v>
      </c>
      <c r="D41" s="47">
        <f t="shared" si="2"/>
        <v>99.962962962962962</v>
      </c>
      <c r="E41" s="76">
        <f t="shared" si="3"/>
        <v>27</v>
      </c>
      <c r="F41" s="48">
        <f t="shared" si="4"/>
        <v>-1211</v>
      </c>
      <c r="G41" s="47">
        <f t="shared" si="5"/>
        <v>-0.97819063004846529</v>
      </c>
      <c r="H41" s="76">
        <f t="shared" si="6"/>
        <v>1238</v>
      </c>
      <c r="L41" t="s">
        <v>257</v>
      </c>
      <c r="M41" s="12">
        <v>2726000000</v>
      </c>
      <c r="P41" s="12">
        <v>27000000</v>
      </c>
      <c r="S41" s="12">
        <v>1238000000</v>
      </c>
    </row>
    <row r="42" spans="1:19">
      <c r="A42" t="s">
        <v>258</v>
      </c>
      <c r="B42" s="76">
        <f t="shared" si="0"/>
        <v>-2903</v>
      </c>
      <c r="C42" s="48">
        <f t="shared" si="1"/>
        <v>-1573</v>
      </c>
      <c r="D42" s="47">
        <f t="shared" si="2"/>
        <v>1.1827067669172933</v>
      </c>
      <c r="E42" s="76">
        <f t="shared" si="3"/>
        <v>-1330</v>
      </c>
      <c r="F42" s="48">
        <f t="shared" si="4"/>
        <v>-1038</v>
      </c>
      <c r="G42" s="47">
        <f t="shared" si="5"/>
        <v>3.5547945205479454</v>
      </c>
      <c r="H42" s="76">
        <f t="shared" si="6"/>
        <v>-292</v>
      </c>
      <c r="L42" t="s">
        <v>258</v>
      </c>
      <c r="M42" s="12">
        <v>-2903000000</v>
      </c>
      <c r="P42" s="12">
        <v>-1330000000</v>
      </c>
      <c r="S42" s="12">
        <v>-292000000</v>
      </c>
    </row>
    <row r="43" spans="1:19">
      <c r="A43" t="s">
        <v>259</v>
      </c>
      <c r="B43" s="76">
        <f t="shared" si="0"/>
        <v>-4400</v>
      </c>
      <c r="C43" s="48">
        <f t="shared" si="1"/>
        <v>-400</v>
      </c>
      <c r="D43" s="47">
        <f t="shared" si="2"/>
        <v>0.1</v>
      </c>
      <c r="E43" s="76">
        <f t="shared" si="3"/>
        <v>-4000</v>
      </c>
      <c r="F43" s="48">
        <f t="shared" si="4"/>
        <v>-1111</v>
      </c>
      <c r="G43" s="47">
        <f t="shared" si="5"/>
        <v>0.38456213222568364</v>
      </c>
      <c r="H43" s="76">
        <f t="shared" si="6"/>
        <v>-2889</v>
      </c>
      <c r="L43" t="s">
        <v>259</v>
      </c>
      <c r="M43" s="12">
        <v>-4400000000</v>
      </c>
      <c r="P43" s="12">
        <v>-4000000000</v>
      </c>
      <c r="S43" s="12">
        <v>-2889000000</v>
      </c>
    </row>
    <row r="44" spans="1:19">
      <c r="A44" t="s">
        <v>260</v>
      </c>
      <c r="B44" s="76">
        <f t="shared" si="0"/>
        <v>-2442</v>
      </c>
      <c r="C44" s="48">
        <f t="shared" si="1"/>
        <v>-170</v>
      </c>
      <c r="D44" s="47">
        <f t="shared" si="2"/>
        <v>7.4823943661971828E-2</v>
      </c>
      <c r="E44" s="76">
        <f t="shared" si="3"/>
        <v>-2272</v>
      </c>
      <c r="F44" s="48">
        <f t="shared" si="4"/>
        <v>-153</v>
      </c>
      <c r="G44" s="47">
        <f t="shared" si="5"/>
        <v>7.2203869749882021E-2</v>
      </c>
      <c r="H44" s="76">
        <f t="shared" si="6"/>
        <v>-2119</v>
      </c>
      <c r="L44" t="s">
        <v>260</v>
      </c>
      <c r="M44" s="12">
        <v>-2442000000</v>
      </c>
      <c r="P44" s="12">
        <v>-2272000000</v>
      </c>
      <c r="S44" s="12">
        <v>-2119000000</v>
      </c>
    </row>
    <row r="45" spans="1:19">
      <c r="A45" t="s">
        <v>261</v>
      </c>
      <c r="B45" s="76"/>
      <c r="C45" s="48">
        <f t="shared" si="1"/>
        <v>-2801</v>
      </c>
      <c r="D45" s="47">
        <f t="shared" si="2"/>
        <v>-1</v>
      </c>
      <c r="E45" s="76">
        <f t="shared" si="3"/>
        <v>2801</v>
      </c>
      <c r="F45" s="48">
        <f t="shared" si="4"/>
        <v>2801</v>
      </c>
      <c r="G45" s="47"/>
      <c r="H45" s="76"/>
      <c r="L45" t="s">
        <v>261</v>
      </c>
      <c r="M45" s="12">
        <v>0</v>
      </c>
      <c r="P45" s="12">
        <v>2801000000</v>
      </c>
      <c r="S45">
        <v>0</v>
      </c>
    </row>
    <row r="46" spans="1:19">
      <c r="A46" t="s">
        <v>262</v>
      </c>
      <c r="B46" s="76"/>
      <c r="C46" s="48">
        <f t="shared" si="1"/>
        <v>179</v>
      </c>
      <c r="D46" s="47">
        <f t="shared" si="2"/>
        <v>-1</v>
      </c>
      <c r="E46" s="76">
        <f t="shared" si="3"/>
        <v>-179</v>
      </c>
      <c r="F46" s="48">
        <f t="shared" si="4"/>
        <v>-179</v>
      </c>
      <c r="G46" s="47"/>
      <c r="H46" s="76"/>
      <c r="L46" t="s">
        <v>262</v>
      </c>
      <c r="M46" s="12">
        <v>0</v>
      </c>
      <c r="P46" s="12">
        <v>-179000000</v>
      </c>
      <c r="S46">
        <v>0</v>
      </c>
    </row>
    <row r="47" spans="1:19">
      <c r="A47" t="s">
        <v>242</v>
      </c>
      <c r="B47" s="76">
        <f t="shared" si="0"/>
        <v>-79</v>
      </c>
      <c r="C47" s="48">
        <f t="shared" si="1"/>
        <v>63</v>
      </c>
      <c r="D47" s="47">
        <f t="shared" si="2"/>
        <v>-0.44366197183098594</v>
      </c>
      <c r="E47" s="76">
        <f t="shared" si="3"/>
        <v>-142</v>
      </c>
      <c r="F47" s="48">
        <f t="shared" si="4"/>
        <v>1</v>
      </c>
      <c r="G47" s="47">
        <f t="shared" si="5"/>
        <v>-6.993006993006993E-3</v>
      </c>
      <c r="H47" s="76">
        <f t="shared" si="6"/>
        <v>-143</v>
      </c>
      <c r="L47" t="s">
        <v>242</v>
      </c>
      <c r="M47" s="12">
        <v>-79000000</v>
      </c>
      <c r="P47" s="12">
        <v>-142000000</v>
      </c>
      <c r="S47" s="12">
        <v>-143000000</v>
      </c>
    </row>
    <row r="48" spans="1:19">
      <c r="A48" t="s">
        <v>263</v>
      </c>
      <c r="B48" s="88">
        <f>SUM(B38:B47)</f>
        <v>-6600</v>
      </c>
      <c r="C48" s="151">
        <f t="shared" si="1"/>
        <v>-1568</v>
      </c>
      <c r="D48" s="55">
        <f t="shared" si="2"/>
        <v>0.31160572337042924</v>
      </c>
      <c r="E48" s="88">
        <f>SUM(E38:E47)</f>
        <v>-5032</v>
      </c>
      <c r="F48" s="151">
        <f t="shared" si="4"/>
        <v>-1516</v>
      </c>
      <c r="G48" s="55">
        <f t="shared" si="5"/>
        <v>0.43117178612059159</v>
      </c>
      <c r="H48" s="88">
        <f>SUM(H38:H47)</f>
        <v>-3516</v>
      </c>
      <c r="L48" t="s">
        <v>263</v>
      </c>
      <c r="M48" s="12">
        <v>-6600000000</v>
      </c>
      <c r="P48" s="12">
        <v>-5032000000</v>
      </c>
      <c r="S48" s="12">
        <v>-3516000000</v>
      </c>
    </row>
    <row r="49" spans="1:19">
      <c r="A49" t="s">
        <v>264</v>
      </c>
      <c r="B49" s="76">
        <f t="shared" si="0"/>
        <v>16</v>
      </c>
      <c r="C49" s="48">
        <f t="shared" si="1"/>
        <v>217</v>
      </c>
      <c r="D49" s="47">
        <f t="shared" si="2"/>
        <v>-1.0796019900497513</v>
      </c>
      <c r="E49" s="76">
        <f t="shared" si="3"/>
        <v>-201</v>
      </c>
      <c r="F49" s="48">
        <f t="shared" si="4"/>
        <v>-541</v>
      </c>
      <c r="G49" s="47">
        <f t="shared" si="5"/>
        <v>-1.5911764705882352</v>
      </c>
      <c r="H49" s="76">
        <f t="shared" si="6"/>
        <v>340</v>
      </c>
      <c r="L49" t="s">
        <v>264</v>
      </c>
      <c r="M49" s="12">
        <v>16000000</v>
      </c>
      <c r="P49" s="12">
        <v>-201000000</v>
      </c>
      <c r="S49" s="12">
        <v>340000000</v>
      </c>
    </row>
    <row r="50" spans="1:19">
      <c r="A50" t="s">
        <v>113</v>
      </c>
      <c r="B50" s="88">
        <f t="shared" si="0"/>
        <v>-220</v>
      </c>
      <c r="C50" s="151">
        <f t="shared" si="1"/>
        <v>-2448</v>
      </c>
      <c r="D50" s="55">
        <f t="shared" si="2"/>
        <v>-1.0987432675044884</v>
      </c>
      <c r="E50" s="88">
        <f t="shared" si="3"/>
        <v>2228</v>
      </c>
      <c r="F50" s="151">
        <f t="shared" si="4"/>
        <v>3012</v>
      </c>
      <c r="G50" s="55">
        <f t="shared" si="5"/>
        <v>-3.8418367346938775</v>
      </c>
      <c r="H50" s="88">
        <f t="shared" si="6"/>
        <v>-784</v>
      </c>
      <c r="L50" t="s">
        <v>113</v>
      </c>
      <c r="M50" s="12">
        <v>-220000000</v>
      </c>
      <c r="P50" s="12">
        <v>2228000000</v>
      </c>
      <c r="S50" s="12">
        <v>-784000000</v>
      </c>
    </row>
    <row r="51" spans="1:19">
      <c r="A51" t="s">
        <v>265</v>
      </c>
      <c r="B51" s="76">
        <f t="shared" si="0"/>
        <v>9287</v>
      </c>
      <c r="C51" s="48">
        <f t="shared" si="1"/>
        <v>2228</v>
      </c>
      <c r="D51" s="47">
        <f t="shared" si="2"/>
        <v>0.31562544269726589</v>
      </c>
      <c r="E51" s="76">
        <f t="shared" si="3"/>
        <v>7059</v>
      </c>
      <c r="F51" s="48">
        <f t="shared" si="4"/>
        <v>-784</v>
      </c>
      <c r="G51" s="47">
        <f t="shared" si="5"/>
        <v>-9.9961749330613289E-2</v>
      </c>
      <c r="H51" s="76">
        <f t="shared" si="6"/>
        <v>7843</v>
      </c>
      <c r="L51" t="s">
        <v>265</v>
      </c>
      <c r="M51" s="12">
        <v>9287000000</v>
      </c>
      <c r="P51" s="12">
        <v>7059000000</v>
      </c>
      <c r="S51" s="12">
        <v>7843000000</v>
      </c>
    </row>
    <row r="52" spans="1:19">
      <c r="A52" t="s">
        <v>115</v>
      </c>
      <c r="B52" s="138">
        <f>SUM(B50:B51)</f>
        <v>9067</v>
      </c>
      <c r="C52" s="56">
        <f t="shared" si="1"/>
        <v>-220</v>
      </c>
      <c r="D52" s="57">
        <f>C52/E52</f>
        <v>-2.3689027673091417E-2</v>
      </c>
      <c r="E52" s="138">
        <f>SUM(E50:E51)</f>
        <v>9287</v>
      </c>
      <c r="F52" s="59">
        <f t="shared" si="4"/>
        <v>2228</v>
      </c>
      <c r="G52" s="57">
        <f t="shared" si="5"/>
        <v>0.31562544269726589</v>
      </c>
      <c r="H52" s="138">
        <f>SUM(H50:H51)</f>
        <v>7059</v>
      </c>
      <c r="L52" t="s">
        <v>115</v>
      </c>
      <c r="M52" s="12">
        <v>9067000000</v>
      </c>
      <c r="P52" s="11">
        <v>9287000000</v>
      </c>
      <c r="S52" s="11">
        <v>7059000000</v>
      </c>
    </row>
  </sheetData>
  <mergeCells count="10">
    <mergeCell ref="A1:H1"/>
    <mergeCell ref="A2:H2"/>
    <mergeCell ref="A3:H3"/>
    <mergeCell ref="A4:H4"/>
    <mergeCell ref="A5:H5"/>
    <mergeCell ref="L1:S1"/>
    <mergeCell ref="L2:S2"/>
    <mergeCell ref="L3:S3"/>
    <mergeCell ref="L4:S4"/>
    <mergeCell ref="L5: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2020-09-09T13:44:05Z</dcterms:created>
  <dcterms:modified xsi:type="dcterms:W3CDTF">2020-09-19T19:55:02Z</dcterms:modified>
  <cp:category/>
  <cp:contentStatus/>
</cp:coreProperties>
</file>