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univ-my.sharepoint.com/personal/eschweizer_liberty_edu/Documents/"/>
    </mc:Choice>
  </mc:AlternateContent>
  <xr:revisionPtr revIDLastSave="0" documentId="8_{B0FD4BF4-7BE3-4AC3-A9FB-3CCF3815D721}" xr6:coauthVersionLast="45" xr6:coauthVersionMax="45" xr10:uidLastSave="{00000000-0000-0000-0000-000000000000}"/>
  <bookViews>
    <workbookView xWindow="160" yWindow="460" windowWidth="28040" windowHeight="16420" firstSheet="3" activeTab="7" xr2:uid="{7EB87623-C6DA-6949-9007-3B1B54E68A6F}"/>
  </bookViews>
  <sheets>
    <sheet name="Historical Income Statement " sheetId="8" r:id="rId1"/>
    <sheet name="Historical Balance Sheet" sheetId="14" r:id="rId2"/>
    <sheet name="Historical Stmt of Cash Flows " sheetId="17" r:id="rId3"/>
    <sheet name="Historical Ratios" sheetId="7" r:id="rId4"/>
    <sheet name="Proforma Income Statement" sheetId="18" r:id="rId5"/>
    <sheet name="Proforma Balance Sheet" sheetId="19" r:id="rId6"/>
    <sheet name="Proforma Stmt of Csh Flows" sheetId="20" r:id="rId7"/>
    <sheet name="Cost Sheet" sheetId="21" r:id="rId8"/>
    <sheet name="Competitor Income Statement" sheetId="1" r:id="rId9"/>
    <sheet name="Competitor Balance Sheet" sheetId="13" r:id="rId10"/>
    <sheet name="Competitor Stmt of Cash Flows" sheetId="16" r:id="rId1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1" l="1"/>
  <c r="H17" i="19"/>
  <c r="B15" i="21"/>
  <c r="B14" i="21"/>
  <c r="B11" i="21"/>
  <c r="L24" i="7"/>
  <c r="K24" i="7"/>
  <c r="J24" i="7"/>
  <c r="L23" i="7"/>
  <c r="K23" i="7"/>
  <c r="J23" i="7"/>
  <c r="P23" i="7"/>
  <c r="O23" i="7"/>
  <c r="H23" i="7"/>
  <c r="G23" i="7"/>
  <c r="F23" i="7"/>
  <c r="B12" i="21"/>
  <c r="K39" i="20"/>
  <c r="J39" i="20"/>
  <c r="H39" i="20"/>
  <c r="G39" i="20"/>
  <c r="D10" i="7"/>
  <c r="D39" i="20"/>
  <c r="E39" i="20" s="1"/>
  <c r="E30" i="20"/>
  <c r="D30" i="20"/>
  <c r="E26" i="20"/>
  <c r="E24" i="20"/>
  <c r="D24" i="20"/>
  <c r="B10" i="7"/>
  <c r="C41" i="20" l="1"/>
  <c r="F41" i="20"/>
  <c r="I41" i="20"/>
  <c r="B39" i="20"/>
  <c r="B38" i="20"/>
  <c r="D38" i="20" s="1"/>
  <c r="B35" i="20"/>
  <c r="D35" i="20" s="1"/>
  <c r="B33" i="20"/>
  <c r="D33" i="20" s="1"/>
  <c r="B25" i="20"/>
  <c r="D25" i="20" s="1"/>
  <c r="B26" i="20"/>
  <c r="B23" i="20"/>
  <c r="D23" i="20" s="1"/>
  <c r="B11" i="20"/>
  <c r="D11" i="20" s="1"/>
  <c r="B10" i="20"/>
  <c r="D10" i="20" s="1"/>
  <c r="G10" i="20" l="1"/>
  <c r="E10" i="20"/>
  <c r="G11" i="20"/>
  <c r="E11" i="20"/>
  <c r="E23" i="20"/>
  <c r="G23" i="20"/>
  <c r="D27" i="20"/>
  <c r="E25" i="20"/>
  <c r="G25" i="20"/>
  <c r="E33" i="20"/>
  <c r="G33" i="20"/>
  <c r="E35" i="20"/>
  <c r="G35" i="20"/>
  <c r="E38" i="20"/>
  <c r="J38" i="20"/>
  <c r="G38" i="20"/>
  <c r="M20" i="18"/>
  <c r="J20" i="18"/>
  <c r="J14" i="18"/>
  <c r="K38" i="20" l="1"/>
  <c r="H38" i="20"/>
  <c r="J35" i="20"/>
  <c r="K35" i="20" s="1"/>
  <c r="H35" i="20"/>
  <c r="J33" i="20"/>
  <c r="K33" i="20" s="1"/>
  <c r="H33" i="20"/>
  <c r="J25" i="20"/>
  <c r="H25" i="20"/>
  <c r="J23" i="20"/>
  <c r="J27" i="20" s="1"/>
  <c r="G27" i="20"/>
  <c r="H23" i="20"/>
  <c r="K23" i="20" s="1"/>
  <c r="E27" i="20"/>
  <c r="J11" i="20"/>
  <c r="K11" i="20" s="1"/>
  <c r="H11" i="20"/>
  <c r="J10" i="20"/>
  <c r="K10" i="20" s="1"/>
  <c r="H10" i="20"/>
  <c r="E22" i="21"/>
  <c r="H22" i="21" s="1"/>
  <c r="K22" i="21" s="1"/>
  <c r="K5" i="21"/>
  <c r="K3" i="21"/>
  <c r="H5" i="21"/>
  <c r="H3" i="21"/>
  <c r="G3" i="21"/>
  <c r="C4" i="21"/>
  <c r="E14" i="21" s="1"/>
  <c r="E3" i="21"/>
  <c r="E13" i="21"/>
  <c r="E12" i="21"/>
  <c r="E11" i="21"/>
  <c r="E10" i="21"/>
  <c r="E9" i="21"/>
  <c r="E8" i="21"/>
  <c r="E5" i="21"/>
  <c r="H27" i="20" l="1"/>
  <c r="K25" i="20"/>
  <c r="K27" i="20" s="1"/>
  <c r="J18" i="21"/>
  <c r="K17" i="21" s="1"/>
  <c r="K19" i="21" s="1"/>
  <c r="G18" i="21"/>
  <c r="H17" i="21" s="1"/>
  <c r="H19" i="21" s="1"/>
  <c r="E17" i="21"/>
  <c r="E19" i="21" s="1"/>
  <c r="H13" i="21"/>
  <c r="K13" i="21" s="1"/>
  <c r="H12" i="21"/>
  <c r="H10" i="21"/>
  <c r="K10" i="21" s="1"/>
  <c r="H9" i="21"/>
  <c r="K9" i="21" s="1"/>
  <c r="H8" i="21"/>
  <c r="K8" i="21" s="1"/>
  <c r="F3" i="21"/>
  <c r="I3" i="21" s="1"/>
  <c r="L3" i="21" s="1"/>
  <c r="E4" i="21" l="1"/>
  <c r="H4" i="21"/>
  <c r="H14" i="21"/>
  <c r="K4" i="21"/>
  <c r="K14" i="21"/>
  <c r="E6" i="21"/>
  <c r="E15" i="21" s="1"/>
  <c r="E16" i="21" s="1"/>
  <c r="H6" i="21"/>
  <c r="K6" i="21"/>
  <c r="D34" i="20" l="1"/>
  <c r="B42" i="19"/>
  <c r="B27" i="19"/>
  <c r="D27" i="19" s="1"/>
  <c r="G27" i="19" s="1"/>
  <c r="B22" i="19"/>
  <c r="B41" i="19"/>
  <c r="D41" i="19" s="1"/>
  <c r="B38" i="19"/>
  <c r="D38" i="19" s="1"/>
  <c r="B10" i="19"/>
  <c r="B11" i="19"/>
  <c r="B14" i="19"/>
  <c r="D14" i="19" s="1"/>
  <c r="G14" i="19" s="1"/>
  <c r="B15" i="19"/>
  <c r="D15" i="19" s="1"/>
  <c r="G15" i="19" s="1"/>
  <c r="B16" i="19"/>
  <c r="D16" i="19" s="1"/>
  <c r="G16" i="19" s="1"/>
  <c r="B17" i="19"/>
  <c r="D17" i="19" s="1"/>
  <c r="G17" i="19" s="1"/>
  <c r="B21" i="19"/>
  <c r="B23" i="19"/>
  <c r="D23" i="19" s="1"/>
  <c r="G23" i="19" s="1"/>
  <c r="B24" i="19"/>
  <c r="D24" i="19" s="1"/>
  <c r="G24" i="19" s="1"/>
  <c r="B25" i="19"/>
  <c r="B26" i="19"/>
  <c r="B28" i="19"/>
  <c r="D28" i="19" s="1"/>
  <c r="G28" i="19" s="1"/>
  <c r="B29" i="19"/>
  <c r="D29" i="19" s="1"/>
  <c r="G29" i="19" s="1"/>
  <c r="B32" i="19"/>
  <c r="B33" i="19"/>
  <c r="D33" i="19" s="1"/>
  <c r="G33" i="19" s="1"/>
  <c r="B34" i="19"/>
  <c r="B35" i="19"/>
  <c r="B39" i="19"/>
  <c r="D39" i="19" s="1"/>
  <c r="B9" i="19"/>
  <c r="L14" i="18"/>
  <c r="M14" i="18" s="1"/>
  <c r="D20" i="18"/>
  <c r="B21" i="18"/>
  <c r="B19" i="18"/>
  <c r="B18" i="18"/>
  <c r="B13" i="18"/>
  <c r="B12" i="18"/>
  <c r="B15" i="18" s="1"/>
  <c r="B9" i="18"/>
  <c r="B13" i="20" l="1"/>
  <c r="D9" i="19"/>
  <c r="B12" i="19"/>
  <c r="B18" i="19" s="1"/>
  <c r="E39" i="19"/>
  <c r="G39" i="19"/>
  <c r="B20" i="20"/>
  <c r="D35" i="19"/>
  <c r="B19" i="20"/>
  <c r="D34" i="19"/>
  <c r="B31" i="20"/>
  <c r="D32" i="19"/>
  <c r="B18" i="20"/>
  <c r="D26" i="19"/>
  <c r="B17" i="20"/>
  <c r="D25" i="19"/>
  <c r="B29" i="20"/>
  <c r="D21" i="19"/>
  <c r="B30" i="19"/>
  <c r="B36" i="19" s="1"/>
  <c r="B15" i="20"/>
  <c r="D11" i="19"/>
  <c r="B14" i="20"/>
  <c r="D10" i="19"/>
  <c r="E38" i="19"/>
  <c r="G38" i="19"/>
  <c r="E41" i="19"/>
  <c r="G41" i="19"/>
  <c r="B16" i="20"/>
  <c r="D22" i="19"/>
  <c r="B32" i="20"/>
  <c r="D42" i="19"/>
  <c r="E34" i="20"/>
  <c r="G34" i="20"/>
  <c r="J33" i="19"/>
  <c r="J29" i="19"/>
  <c r="J28" i="19"/>
  <c r="J27" i="19"/>
  <c r="J24" i="19"/>
  <c r="J23" i="19"/>
  <c r="J17" i="19"/>
  <c r="J16" i="19"/>
  <c r="J15" i="19"/>
  <c r="J14" i="19"/>
  <c r="B8" i="18"/>
  <c r="D8" i="18" s="1"/>
  <c r="H34" i="20" l="1"/>
  <c r="J34" i="20"/>
  <c r="K34" i="20" s="1"/>
  <c r="D32" i="20"/>
  <c r="E32" i="20" s="1"/>
  <c r="E42" i="19"/>
  <c r="G42" i="19"/>
  <c r="D16" i="20"/>
  <c r="G22" i="19"/>
  <c r="H41" i="19"/>
  <c r="J41" i="19"/>
  <c r="K41" i="19" s="1"/>
  <c r="H38" i="19"/>
  <c r="J38" i="19"/>
  <c r="K38" i="19" s="1"/>
  <c r="G10" i="19"/>
  <c r="D14" i="20"/>
  <c r="G11" i="19"/>
  <c r="D15" i="20"/>
  <c r="D29" i="20"/>
  <c r="G21" i="19"/>
  <c r="D30" i="19"/>
  <c r="D36" i="19" s="1"/>
  <c r="D17" i="20"/>
  <c r="G25" i="19"/>
  <c r="D18" i="20"/>
  <c r="G26" i="19"/>
  <c r="D31" i="20"/>
  <c r="G32" i="19"/>
  <c r="G34" i="19"/>
  <c r="D19" i="20"/>
  <c r="G35" i="19"/>
  <c r="D20" i="20"/>
  <c r="H39" i="19"/>
  <c r="J39" i="19"/>
  <c r="K39" i="19" s="1"/>
  <c r="F4" i="7"/>
  <c r="G9" i="19"/>
  <c r="D12" i="19"/>
  <c r="D13" i="20"/>
  <c r="F8" i="18"/>
  <c r="F10" i="7"/>
  <c r="F9" i="7"/>
  <c r="F8" i="7"/>
  <c r="E8" i="18"/>
  <c r="H8" i="18"/>
  <c r="H11" i="21"/>
  <c r="K11" i="21"/>
  <c r="K12" i="21"/>
  <c r="C12" i="18"/>
  <c r="D12" i="18" s="1"/>
  <c r="C13" i="18"/>
  <c r="D13" i="18" s="1"/>
  <c r="C14" i="18"/>
  <c r="C15" i="18"/>
  <c r="C18" i="18"/>
  <c r="D18" i="18" s="1"/>
  <c r="C19" i="18"/>
  <c r="D19" i="18" s="1"/>
  <c r="C20" i="18"/>
  <c r="C21" i="18"/>
  <c r="D21" i="18" s="1"/>
  <c r="D18" i="19" l="1"/>
  <c r="F3" i="7"/>
  <c r="G13" i="20"/>
  <c r="J9" i="19"/>
  <c r="G12" i="19"/>
  <c r="G20" i="20"/>
  <c r="J35" i="19"/>
  <c r="J20" i="20" s="1"/>
  <c r="G19" i="20"/>
  <c r="J34" i="19"/>
  <c r="J19" i="20" s="1"/>
  <c r="G31" i="20"/>
  <c r="J32" i="19"/>
  <c r="J31" i="20" s="1"/>
  <c r="G18" i="20"/>
  <c r="J26" i="19"/>
  <c r="J18" i="20" s="1"/>
  <c r="G17" i="20"/>
  <c r="J25" i="19"/>
  <c r="J17" i="20" s="1"/>
  <c r="G29" i="20"/>
  <c r="J21" i="19"/>
  <c r="G30" i="19"/>
  <c r="D36" i="20"/>
  <c r="G15" i="20"/>
  <c r="J11" i="19"/>
  <c r="J15" i="20" s="1"/>
  <c r="G14" i="20"/>
  <c r="J10" i="19"/>
  <c r="J14" i="20" s="1"/>
  <c r="G16" i="20"/>
  <c r="J22" i="19"/>
  <c r="J16" i="20" s="1"/>
  <c r="G32" i="20"/>
  <c r="H42" i="19"/>
  <c r="H32" i="20" s="1"/>
  <c r="J42" i="19"/>
  <c r="J8" i="18"/>
  <c r="G9" i="7"/>
  <c r="G8" i="7"/>
  <c r="G10" i="7"/>
  <c r="G7" i="18"/>
  <c r="G8" i="18" s="1"/>
  <c r="E21" i="18"/>
  <c r="H21" i="18" s="1"/>
  <c r="F21" i="18"/>
  <c r="E19" i="18"/>
  <c r="H19" i="18" s="1"/>
  <c r="F19" i="18"/>
  <c r="E18" i="18"/>
  <c r="H18" i="18" s="1"/>
  <c r="F18" i="18"/>
  <c r="E13" i="18"/>
  <c r="H13" i="18" s="1"/>
  <c r="F13" i="18"/>
  <c r="E12" i="18"/>
  <c r="H12" i="18" s="1"/>
  <c r="F12" i="18"/>
  <c r="I14" i="18"/>
  <c r="I20" i="18"/>
  <c r="I8" i="18"/>
  <c r="K15" i="21"/>
  <c r="K16" i="21" s="1"/>
  <c r="H15" i="21"/>
  <c r="H16" i="21" s="1"/>
  <c r="H15" i="18"/>
  <c r="I15" i="18" s="1"/>
  <c r="L8" i="18"/>
  <c r="D15" i="18"/>
  <c r="E15" i="18" s="1"/>
  <c r="C8" i="18"/>
  <c r="J32" i="20" l="1"/>
  <c r="K42" i="19"/>
  <c r="K32" i="20" s="1"/>
  <c r="G36" i="19"/>
  <c r="G4" i="7"/>
  <c r="J29" i="20"/>
  <c r="J36" i="20" s="1"/>
  <c r="J30" i="19"/>
  <c r="J36" i="19" s="1"/>
  <c r="G36" i="20"/>
  <c r="G18" i="19"/>
  <c r="G7" i="7" s="1"/>
  <c r="G3" i="7"/>
  <c r="H4" i="7"/>
  <c r="J12" i="19"/>
  <c r="J13" i="20"/>
  <c r="F12" i="7"/>
  <c r="F7" i="7"/>
  <c r="M8" i="18"/>
  <c r="H9" i="7"/>
  <c r="H8" i="7"/>
  <c r="H10" i="7"/>
  <c r="F15" i="18"/>
  <c r="G12" i="18"/>
  <c r="G13" i="18" s="1"/>
  <c r="E14" i="19"/>
  <c r="E16" i="19"/>
  <c r="E17" i="19"/>
  <c r="E15" i="19"/>
  <c r="E11" i="19"/>
  <c r="E10" i="19"/>
  <c r="E9" i="19"/>
  <c r="K7" i="18"/>
  <c r="K8" i="18" s="1"/>
  <c r="J12" i="18"/>
  <c r="K12" i="18" s="1"/>
  <c r="K13" i="18" s="1"/>
  <c r="I12" i="18"/>
  <c r="L12" i="18" s="1"/>
  <c r="J13" i="18"/>
  <c r="I13" i="18"/>
  <c r="L13" i="18" s="1"/>
  <c r="J18" i="18"/>
  <c r="I18" i="18"/>
  <c r="L18" i="18" s="1"/>
  <c r="M18" i="18" s="1"/>
  <c r="J19" i="18"/>
  <c r="I19" i="18"/>
  <c r="L19" i="18" s="1"/>
  <c r="M19" i="18" s="1"/>
  <c r="J21" i="18"/>
  <c r="I21" i="18"/>
  <c r="L21" i="18" s="1"/>
  <c r="M21" i="18" s="1"/>
  <c r="B36" i="20"/>
  <c r="B27" i="20"/>
  <c r="J18" i="19" l="1"/>
  <c r="H3" i="7"/>
  <c r="G12" i="7"/>
  <c r="M13" i="18"/>
  <c r="H29" i="19"/>
  <c r="H28" i="19"/>
  <c r="H27" i="19"/>
  <c r="H26" i="19"/>
  <c r="H25" i="19"/>
  <c r="H24" i="19"/>
  <c r="H23" i="19"/>
  <c r="H22" i="19"/>
  <c r="H21" i="19"/>
  <c r="H9" i="19"/>
  <c r="H16" i="19"/>
  <c r="H15" i="19"/>
  <c r="H14" i="19"/>
  <c r="H11" i="19"/>
  <c r="H10" i="19"/>
  <c r="H13" i="20"/>
  <c r="O10" i="7"/>
  <c r="N10" i="7"/>
  <c r="E13" i="20"/>
  <c r="N9" i="7"/>
  <c r="H14" i="20"/>
  <c r="E14" i="20"/>
  <c r="E12" i="19"/>
  <c r="H15" i="20"/>
  <c r="E15" i="20"/>
  <c r="E22" i="19"/>
  <c r="E16" i="20" s="1"/>
  <c r="E23" i="19"/>
  <c r="E24" i="19"/>
  <c r="E25" i="19"/>
  <c r="E17" i="20" s="1"/>
  <c r="E26" i="19"/>
  <c r="E18" i="20" s="1"/>
  <c r="E27" i="19"/>
  <c r="E28" i="19"/>
  <c r="E29" i="19"/>
  <c r="E21" i="19"/>
  <c r="N7" i="18"/>
  <c r="N8" i="18" s="1"/>
  <c r="M12" i="18"/>
  <c r="L15" i="18"/>
  <c r="J15" i="18"/>
  <c r="J6" i="7"/>
  <c r="H12" i="7" l="1"/>
  <c r="H7" i="7"/>
  <c r="M15" i="18"/>
  <c r="N12" i="18"/>
  <c r="N13" i="18" s="1"/>
  <c r="K10" i="19"/>
  <c r="K11" i="19"/>
  <c r="K14" i="19"/>
  <c r="K15" i="19"/>
  <c r="K16" i="19"/>
  <c r="K17" i="19"/>
  <c r="K9" i="19"/>
  <c r="E29" i="20"/>
  <c r="E30" i="19"/>
  <c r="E18" i="19"/>
  <c r="N3" i="7"/>
  <c r="K14" i="20"/>
  <c r="K15" i="20"/>
  <c r="K13" i="20"/>
  <c r="P10" i="7"/>
  <c r="H12" i="19"/>
  <c r="O9" i="7"/>
  <c r="H29" i="20"/>
  <c r="H30" i="19"/>
  <c r="H16" i="20"/>
  <c r="H17" i="20"/>
  <c r="H18" i="20"/>
  <c r="J15" i="7"/>
  <c r="O4" i="7" l="1"/>
  <c r="H18" i="19"/>
  <c r="O3" i="7"/>
  <c r="N7" i="7"/>
  <c r="N8" i="7"/>
  <c r="N4" i="7"/>
  <c r="K12" i="19"/>
  <c r="P9" i="7"/>
  <c r="K21" i="19"/>
  <c r="K22" i="19"/>
  <c r="K16" i="20" s="1"/>
  <c r="K23" i="19"/>
  <c r="K24" i="19"/>
  <c r="K25" i="19"/>
  <c r="K17" i="20" s="1"/>
  <c r="K26" i="19"/>
  <c r="K18" i="20" s="1"/>
  <c r="K27" i="19"/>
  <c r="K28" i="19"/>
  <c r="K29" i="19"/>
  <c r="C20" i="13"/>
  <c r="D23" i="7"/>
  <c r="C23" i="7"/>
  <c r="B23" i="7"/>
  <c r="J8" i="7"/>
  <c r="C10" i="7"/>
  <c r="D9" i="7"/>
  <c r="C9" i="7"/>
  <c r="K29" i="20" l="1"/>
  <c r="K30" i="19"/>
  <c r="K18" i="19"/>
  <c r="P3" i="7"/>
  <c r="O8" i="7"/>
  <c r="O7" i="7"/>
  <c r="B9" i="7"/>
  <c r="P8" i="7" l="1"/>
  <c r="P7" i="7"/>
  <c r="P4" i="7"/>
  <c r="C19" i="7"/>
  <c r="D19" i="7"/>
  <c r="B19" i="7"/>
  <c r="D18" i="7"/>
  <c r="C18" i="7"/>
  <c r="E16" i="8"/>
  <c r="B18" i="7"/>
  <c r="D17" i="7"/>
  <c r="C17" i="7"/>
  <c r="B17" i="7"/>
  <c r="D15" i="7"/>
  <c r="C15" i="7"/>
  <c r="B15" i="7"/>
  <c r="D8" i="7" l="1"/>
  <c r="C8" i="7"/>
  <c r="B8" i="7"/>
  <c r="D6" i="7" l="1"/>
  <c r="C6" i="7"/>
  <c r="B6" i="7"/>
  <c r="D5" i="7"/>
  <c r="C5" i="7"/>
  <c r="B5" i="7"/>
  <c r="L21" i="7" l="1"/>
  <c r="K21" i="7"/>
  <c r="J21" i="7"/>
  <c r="L20" i="7"/>
  <c r="K20" i="7"/>
  <c r="J20" i="7"/>
  <c r="L15" i="7" l="1"/>
  <c r="K15" i="7"/>
  <c r="L14" i="7"/>
  <c r="K14" i="7"/>
  <c r="J14" i="7"/>
  <c r="K13" i="7"/>
  <c r="K12" i="7"/>
  <c r="L8" i="7"/>
  <c r="K8" i="7"/>
  <c r="L7" i="7"/>
  <c r="K7" i="7"/>
  <c r="J7" i="7"/>
  <c r="L6" i="7"/>
  <c r="K6" i="7"/>
  <c r="L5" i="7"/>
  <c r="K5" i="7"/>
  <c r="J5" i="7"/>
  <c r="K4" i="7" l="1"/>
  <c r="K3" i="7"/>
  <c r="C16" i="17" l="1"/>
  <c r="F14" i="14"/>
  <c r="J24" i="13"/>
  <c r="J31" i="13"/>
  <c r="G8" i="1"/>
  <c r="D8" i="8"/>
  <c r="B24" i="8"/>
  <c r="C28" i="8"/>
  <c r="H24" i="8"/>
  <c r="E24" i="8"/>
  <c r="H16" i="8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8" i="1"/>
  <c r="B10" i="8" l="1"/>
  <c r="B16" i="8" s="1"/>
  <c r="K9" i="13"/>
  <c r="K10" i="13"/>
  <c r="K11" i="13"/>
  <c r="K12" i="13"/>
  <c r="K14" i="13"/>
  <c r="K16" i="13"/>
  <c r="K17" i="13"/>
  <c r="K18" i="13"/>
  <c r="K19" i="13"/>
  <c r="K20" i="13"/>
  <c r="K22" i="13"/>
  <c r="K23" i="13"/>
  <c r="K25" i="13"/>
  <c r="K26" i="13"/>
  <c r="K27" i="13"/>
  <c r="K28" i="13"/>
  <c r="K31" i="13"/>
  <c r="K33" i="13"/>
  <c r="K34" i="13"/>
  <c r="K39" i="13"/>
  <c r="K40" i="13"/>
  <c r="K41" i="13"/>
  <c r="K42" i="13"/>
  <c r="K43" i="13"/>
  <c r="K8" i="13"/>
  <c r="J9" i="13"/>
  <c r="J10" i="13"/>
  <c r="J11" i="13"/>
  <c r="J12" i="13"/>
  <c r="J14" i="13"/>
  <c r="J16" i="13"/>
  <c r="J17" i="13"/>
  <c r="J18" i="13"/>
  <c r="J19" i="13"/>
  <c r="J20" i="13"/>
  <c r="J22" i="13"/>
  <c r="J23" i="13"/>
  <c r="J25" i="13"/>
  <c r="J26" i="13"/>
  <c r="J27" i="13"/>
  <c r="J28" i="13"/>
  <c r="J29" i="13"/>
  <c r="J33" i="13"/>
  <c r="J34" i="13"/>
  <c r="J35" i="13"/>
  <c r="J39" i="13"/>
  <c r="J41" i="13"/>
  <c r="J42" i="13"/>
  <c r="J43" i="13"/>
  <c r="J44" i="13"/>
  <c r="J8" i="13"/>
  <c r="K9" i="8"/>
  <c r="K10" i="8"/>
  <c r="K12" i="8"/>
  <c r="K13" i="8"/>
  <c r="K15" i="8"/>
  <c r="K16" i="8"/>
  <c r="K18" i="8"/>
  <c r="K19" i="8"/>
  <c r="K21" i="8"/>
  <c r="K22" i="8"/>
  <c r="K23" i="8"/>
  <c r="K24" i="8"/>
  <c r="K25" i="8"/>
  <c r="K26" i="8"/>
  <c r="K27" i="8"/>
  <c r="K28" i="8"/>
  <c r="K8" i="8"/>
  <c r="J9" i="8"/>
  <c r="J10" i="8"/>
  <c r="J12" i="8"/>
  <c r="J13" i="8"/>
  <c r="J14" i="8"/>
  <c r="J15" i="8"/>
  <c r="J16" i="8"/>
  <c r="J18" i="8"/>
  <c r="J19" i="8"/>
  <c r="J20" i="8"/>
  <c r="J21" i="8"/>
  <c r="J22" i="8"/>
  <c r="J23" i="8"/>
  <c r="J24" i="8"/>
  <c r="J25" i="8"/>
  <c r="J26" i="8"/>
  <c r="J27" i="8"/>
  <c r="J28" i="8"/>
  <c r="J8" i="8"/>
  <c r="I18" i="8"/>
  <c r="I9" i="8"/>
  <c r="I10" i="8"/>
  <c r="I12" i="8"/>
  <c r="I13" i="8"/>
  <c r="I15" i="8"/>
  <c r="I16" i="8"/>
  <c r="I19" i="8"/>
  <c r="I21" i="8"/>
  <c r="I22" i="8"/>
  <c r="I23" i="8"/>
  <c r="I24" i="8"/>
  <c r="I25" i="8"/>
  <c r="I26" i="8"/>
  <c r="I27" i="8"/>
  <c r="I28" i="8"/>
  <c r="I8" i="8"/>
  <c r="L17" i="7"/>
  <c r="K17" i="7" l="1"/>
  <c r="J17" i="7"/>
  <c r="F11" i="8"/>
  <c r="F12" i="8"/>
  <c r="G12" i="8" s="1"/>
  <c r="F13" i="8"/>
  <c r="G13" i="8" s="1"/>
  <c r="F14" i="8"/>
  <c r="F15" i="8"/>
  <c r="G15" i="8" s="1"/>
  <c r="F16" i="8"/>
  <c r="G16" i="8" s="1"/>
  <c r="F18" i="8"/>
  <c r="G18" i="8" s="1"/>
  <c r="F19" i="8"/>
  <c r="G19" i="8" s="1"/>
  <c r="F20" i="8"/>
  <c r="F21" i="8"/>
  <c r="G21" i="8" s="1"/>
  <c r="F22" i="8"/>
  <c r="G22" i="8" s="1"/>
  <c r="F23" i="8"/>
  <c r="G23" i="8" s="1"/>
  <c r="F24" i="8"/>
  <c r="G24" i="8" s="1"/>
  <c r="F25" i="8"/>
  <c r="G25" i="8" s="1"/>
  <c r="F26" i="8"/>
  <c r="G26" i="8" s="1"/>
  <c r="F27" i="8"/>
  <c r="G27" i="8" s="1"/>
  <c r="F28" i="8"/>
  <c r="G28" i="8" s="1"/>
  <c r="F9" i="8"/>
  <c r="G9" i="8" s="1"/>
  <c r="F8" i="8"/>
  <c r="G8" i="8" s="1"/>
  <c r="C18" i="8"/>
  <c r="D18" i="8" s="1"/>
  <c r="C19" i="8"/>
  <c r="D19" i="8" s="1"/>
  <c r="C20" i="8"/>
  <c r="D20" i="8" s="1"/>
  <c r="C21" i="8"/>
  <c r="D21" i="8" s="1"/>
  <c r="C22" i="8"/>
  <c r="D22" i="8" s="1"/>
  <c r="C23" i="8"/>
  <c r="D23" i="8" s="1"/>
  <c r="C24" i="8"/>
  <c r="D24" i="8" s="1"/>
  <c r="C25" i="8"/>
  <c r="D25" i="8" s="1"/>
  <c r="C26" i="8"/>
  <c r="D26" i="8" s="1"/>
  <c r="C27" i="8"/>
  <c r="D27" i="8" s="1"/>
  <c r="D28" i="8"/>
  <c r="C12" i="8"/>
  <c r="D12" i="8" s="1"/>
  <c r="C13" i="8"/>
  <c r="D13" i="8" s="1"/>
  <c r="C14" i="8"/>
  <c r="D14" i="8" s="1"/>
  <c r="C15" i="8"/>
  <c r="D15" i="8" s="1"/>
  <c r="C16" i="8"/>
  <c r="D16" i="8" s="1"/>
  <c r="C9" i="8"/>
  <c r="D9" i="8" s="1"/>
  <c r="C8" i="8"/>
  <c r="F9" i="14"/>
  <c r="F10" i="14"/>
  <c r="F11" i="14"/>
  <c r="F16" i="14"/>
  <c r="F17" i="14"/>
  <c r="F21" i="14"/>
  <c r="F22" i="14"/>
  <c r="F23" i="14"/>
  <c r="F24" i="14"/>
  <c r="F25" i="14"/>
  <c r="F26" i="14"/>
  <c r="F27" i="14"/>
  <c r="F29" i="14"/>
  <c r="F32" i="14"/>
  <c r="F34" i="14"/>
  <c r="F35" i="14"/>
  <c r="F39" i="14"/>
  <c r="F40" i="14"/>
  <c r="F41" i="14"/>
  <c r="F42" i="14"/>
  <c r="F8" i="14"/>
  <c r="D10" i="14"/>
  <c r="D16" i="14"/>
  <c r="D23" i="14"/>
  <c r="D27" i="14"/>
  <c r="D32" i="14"/>
  <c r="D38" i="14"/>
  <c r="D39" i="14"/>
  <c r="D41" i="14"/>
  <c r="C9" i="14"/>
  <c r="D9" i="14" s="1"/>
  <c r="C10" i="14"/>
  <c r="C11" i="14"/>
  <c r="D11" i="14" s="1"/>
  <c r="C14" i="14"/>
  <c r="D14" i="14" s="1"/>
  <c r="C15" i="14"/>
  <c r="C16" i="14"/>
  <c r="C17" i="14"/>
  <c r="D17" i="14" s="1"/>
  <c r="C21" i="14"/>
  <c r="D21" i="14" s="1"/>
  <c r="C22" i="14"/>
  <c r="D22" i="14" s="1"/>
  <c r="C23" i="14"/>
  <c r="C24" i="14"/>
  <c r="D24" i="14" s="1"/>
  <c r="C25" i="14"/>
  <c r="D25" i="14" s="1"/>
  <c r="C26" i="14"/>
  <c r="D26" i="14" s="1"/>
  <c r="C27" i="14"/>
  <c r="C28" i="14"/>
  <c r="C29" i="14"/>
  <c r="D29" i="14" s="1"/>
  <c r="C32" i="14"/>
  <c r="C33" i="14"/>
  <c r="C34" i="14"/>
  <c r="D34" i="14" s="1"/>
  <c r="C35" i="14"/>
  <c r="D35" i="14" s="1"/>
  <c r="C39" i="14"/>
  <c r="C40" i="14"/>
  <c r="D40" i="14" s="1"/>
  <c r="C41" i="14"/>
  <c r="C42" i="14"/>
  <c r="D42" i="14" s="1"/>
  <c r="C8" i="14"/>
  <c r="D8" i="14" s="1"/>
  <c r="C8" i="1"/>
  <c r="D8" i="1" s="1"/>
  <c r="F22" i="1"/>
  <c r="G22" i="1" s="1"/>
  <c r="F21" i="1"/>
  <c r="G21" i="1" s="1"/>
  <c r="F20" i="1"/>
  <c r="G20" i="1" s="1"/>
  <c r="F18" i="1"/>
  <c r="G18" i="1" s="1"/>
  <c r="F16" i="1"/>
  <c r="G16" i="1" s="1"/>
  <c r="F15" i="1"/>
  <c r="G15" i="1" s="1"/>
  <c r="F13" i="1"/>
  <c r="G13" i="1" s="1"/>
  <c r="F12" i="1"/>
  <c r="G12" i="1" s="1"/>
  <c r="F9" i="1"/>
  <c r="G9" i="1" s="1"/>
  <c r="F8" i="1"/>
  <c r="C22" i="1"/>
  <c r="D22" i="1" s="1"/>
  <c r="C21" i="1"/>
  <c r="D21" i="1" s="1"/>
  <c r="C20" i="1"/>
  <c r="D20" i="1" s="1"/>
  <c r="C18" i="1"/>
  <c r="D18" i="1" s="1"/>
  <c r="C15" i="1"/>
  <c r="D15" i="1" s="1"/>
  <c r="C13" i="1"/>
  <c r="D13" i="1" s="1"/>
  <c r="C12" i="1"/>
  <c r="D12" i="1" s="1"/>
  <c r="C9" i="1"/>
  <c r="D9" i="1" s="1"/>
  <c r="F9" i="13" l="1"/>
  <c r="G9" i="13" s="1"/>
  <c r="F10" i="13"/>
  <c r="G10" i="13" s="1"/>
  <c r="F11" i="13"/>
  <c r="G11" i="13" s="1"/>
  <c r="F14" i="13"/>
  <c r="G14" i="13" s="1"/>
  <c r="F16" i="13"/>
  <c r="G16" i="13" s="1"/>
  <c r="F17" i="13"/>
  <c r="G17" i="13" s="1"/>
  <c r="F18" i="13"/>
  <c r="G18" i="13" s="1"/>
  <c r="F19" i="13"/>
  <c r="G19" i="13" s="1"/>
  <c r="F22" i="13"/>
  <c r="G22" i="13" s="1"/>
  <c r="F23" i="13"/>
  <c r="G23" i="13" s="1"/>
  <c r="F25" i="13"/>
  <c r="G25" i="13" s="1"/>
  <c r="F26" i="13"/>
  <c r="G26" i="13" s="1"/>
  <c r="F27" i="13"/>
  <c r="G27" i="13" s="1"/>
  <c r="F28" i="13"/>
  <c r="G28" i="13" s="1"/>
  <c r="F31" i="13"/>
  <c r="G31" i="13" s="1"/>
  <c r="F33" i="13"/>
  <c r="G33" i="13" s="1"/>
  <c r="F34" i="13"/>
  <c r="G34" i="13" s="1"/>
  <c r="F39" i="13"/>
  <c r="G39" i="13" s="1"/>
  <c r="F40" i="13"/>
  <c r="G40" i="13" s="1"/>
  <c r="F41" i="13"/>
  <c r="G41" i="13" s="1"/>
  <c r="F42" i="13"/>
  <c r="G42" i="13" s="1"/>
  <c r="F8" i="13"/>
  <c r="G8" i="13" s="1"/>
  <c r="C9" i="13"/>
  <c r="D9" i="13" s="1"/>
  <c r="C10" i="13"/>
  <c r="D10" i="13" s="1"/>
  <c r="C11" i="13"/>
  <c r="D11" i="13" s="1"/>
  <c r="C14" i="13"/>
  <c r="D14" i="13" s="1"/>
  <c r="C15" i="13"/>
  <c r="C16" i="13"/>
  <c r="D16" i="13" s="1"/>
  <c r="C17" i="13"/>
  <c r="D17" i="13" s="1"/>
  <c r="C18" i="13"/>
  <c r="D18" i="13" s="1"/>
  <c r="C19" i="13"/>
  <c r="D19" i="13" s="1"/>
  <c r="C22" i="13"/>
  <c r="D22" i="13" s="1"/>
  <c r="D23" i="13"/>
  <c r="C24" i="13"/>
  <c r="C25" i="13"/>
  <c r="D25" i="13" s="1"/>
  <c r="C26" i="13"/>
  <c r="D26" i="13" s="1"/>
  <c r="C27" i="13"/>
  <c r="D27" i="13" s="1"/>
  <c r="C28" i="13"/>
  <c r="D28" i="13" s="1"/>
  <c r="C31" i="13"/>
  <c r="D31" i="13" s="1"/>
  <c r="C32" i="13"/>
  <c r="C33" i="13"/>
  <c r="D33" i="13" s="1"/>
  <c r="C34" i="13"/>
  <c r="D34" i="13" s="1"/>
  <c r="C39" i="13"/>
  <c r="D39" i="13" s="1"/>
  <c r="C41" i="13"/>
  <c r="D41" i="13" s="1"/>
  <c r="C42" i="13"/>
  <c r="D42" i="13" s="1"/>
  <c r="C8" i="13"/>
  <c r="D8" i="13" s="1"/>
  <c r="H43" i="13"/>
  <c r="E43" i="13"/>
  <c r="F43" i="13" s="1"/>
  <c r="G43" i="13" s="1"/>
  <c r="B43" i="13"/>
  <c r="C43" i="13" s="1"/>
  <c r="D43" i="13" s="1"/>
  <c r="H29" i="13"/>
  <c r="E29" i="13"/>
  <c r="B29" i="13"/>
  <c r="H12" i="13"/>
  <c r="H20" i="13" s="1"/>
  <c r="E12" i="13"/>
  <c r="B12" i="13"/>
  <c r="G9" i="14"/>
  <c r="G10" i="14"/>
  <c r="G11" i="14"/>
  <c r="G14" i="14"/>
  <c r="G16" i="14"/>
  <c r="G17" i="14"/>
  <c r="G21" i="14"/>
  <c r="G22" i="14"/>
  <c r="G23" i="14"/>
  <c r="G24" i="14"/>
  <c r="G25" i="14"/>
  <c r="G26" i="14"/>
  <c r="G27" i="14"/>
  <c r="G29" i="14"/>
  <c r="G32" i="14"/>
  <c r="G34" i="14"/>
  <c r="G35" i="14"/>
  <c r="G38" i="14"/>
  <c r="G39" i="14"/>
  <c r="G40" i="14"/>
  <c r="G41" i="14"/>
  <c r="G42" i="14"/>
  <c r="G8" i="14"/>
  <c r="C10" i="17"/>
  <c r="D10" i="17" s="1"/>
  <c r="C11" i="17"/>
  <c r="D11" i="17" s="1"/>
  <c r="C12" i="17"/>
  <c r="D12" i="17" s="1"/>
  <c r="C13" i="17"/>
  <c r="D13" i="17" s="1"/>
  <c r="C14" i="17"/>
  <c r="D14" i="17" s="1"/>
  <c r="C15" i="17"/>
  <c r="D15" i="17" s="1"/>
  <c r="D16" i="17"/>
  <c r="C17" i="17"/>
  <c r="D17" i="17" s="1"/>
  <c r="C18" i="17"/>
  <c r="D18" i="17" s="1"/>
  <c r="C19" i="17"/>
  <c r="D19" i="17" s="1"/>
  <c r="C20" i="17"/>
  <c r="D20" i="17" s="1"/>
  <c r="C23" i="17"/>
  <c r="D23" i="17" s="1"/>
  <c r="C24" i="17"/>
  <c r="D24" i="17" s="1"/>
  <c r="C25" i="17"/>
  <c r="D25" i="17" s="1"/>
  <c r="C26" i="17"/>
  <c r="D26" i="17" s="1"/>
  <c r="C29" i="17"/>
  <c r="D29" i="17" s="1"/>
  <c r="C30" i="17"/>
  <c r="D30" i="17" s="1"/>
  <c r="C31" i="17"/>
  <c r="D31" i="17" s="1"/>
  <c r="C32" i="17"/>
  <c r="D32" i="17" s="1"/>
  <c r="C33" i="17"/>
  <c r="D33" i="17" s="1"/>
  <c r="C34" i="17"/>
  <c r="D34" i="17" s="1"/>
  <c r="C35" i="17"/>
  <c r="D35" i="17" s="1"/>
  <c r="C37" i="17"/>
  <c r="D37" i="17" s="1"/>
  <c r="C38" i="17"/>
  <c r="D38" i="17" s="1"/>
  <c r="C39" i="17"/>
  <c r="D39" i="17" s="1"/>
  <c r="C42" i="17"/>
  <c r="D42" i="17" s="1"/>
  <c r="C43" i="17"/>
  <c r="D43" i="17" s="1"/>
  <c r="C44" i="17"/>
  <c r="D44" i="17" s="1"/>
  <c r="F10" i="17"/>
  <c r="G10" i="17" s="1"/>
  <c r="F11" i="17"/>
  <c r="G11" i="17" s="1"/>
  <c r="F12" i="17"/>
  <c r="F13" i="17"/>
  <c r="G13" i="17" s="1"/>
  <c r="F14" i="17"/>
  <c r="G14" i="17" s="1"/>
  <c r="F15" i="17"/>
  <c r="G15" i="17" s="1"/>
  <c r="F16" i="17"/>
  <c r="G16" i="17" s="1"/>
  <c r="F17" i="17"/>
  <c r="G17" i="17" s="1"/>
  <c r="F18" i="17"/>
  <c r="G18" i="17" s="1"/>
  <c r="F19" i="17"/>
  <c r="G19" i="17" s="1"/>
  <c r="F20" i="17"/>
  <c r="G20" i="17" s="1"/>
  <c r="F23" i="17"/>
  <c r="G23" i="17" s="1"/>
  <c r="F24" i="17"/>
  <c r="G24" i="17" s="1"/>
  <c r="F25" i="17"/>
  <c r="G25" i="17" s="1"/>
  <c r="F26" i="17"/>
  <c r="G26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7" i="17"/>
  <c r="G37" i="17" s="1"/>
  <c r="F38" i="17"/>
  <c r="G38" i="17" s="1"/>
  <c r="F39" i="17"/>
  <c r="G39" i="17" s="1"/>
  <c r="F42" i="17"/>
  <c r="G42" i="17" s="1"/>
  <c r="F43" i="17"/>
  <c r="G43" i="17" s="1"/>
  <c r="F44" i="17"/>
  <c r="G44" i="17" s="1"/>
  <c r="H40" i="17"/>
  <c r="E40" i="17"/>
  <c r="F40" i="17" s="1"/>
  <c r="G40" i="17" s="1"/>
  <c r="B40" i="17"/>
  <c r="C40" i="17" s="1"/>
  <c r="D40" i="17" s="1"/>
  <c r="H36" i="17"/>
  <c r="E36" i="17"/>
  <c r="F36" i="17" s="1"/>
  <c r="G36" i="17" s="1"/>
  <c r="B36" i="17"/>
  <c r="C36" i="17" s="1"/>
  <c r="D36" i="17" s="1"/>
  <c r="H27" i="17"/>
  <c r="E27" i="17"/>
  <c r="F27" i="17" s="1"/>
  <c r="G27" i="17" s="1"/>
  <c r="B27" i="17"/>
  <c r="C27" i="17" s="1"/>
  <c r="D27" i="17" s="1"/>
  <c r="B10" i="1"/>
  <c r="B43" i="14"/>
  <c r="E43" i="14"/>
  <c r="H43" i="14"/>
  <c r="B30" i="14"/>
  <c r="E30" i="14"/>
  <c r="C4" i="7" s="1"/>
  <c r="H30" i="14"/>
  <c r="D4" i="7" s="1"/>
  <c r="B12" i="14"/>
  <c r="E12" i="14"/>
  <c r="H12" i="14"/>
  <c r="C10" i="16"/>
  <c r="D10" i="16" s="1"/>
  <c r="C11" i="16"/>
  <c r="C12" i="16"/>
  <c r="D12" i="16" s="1"/>
  <c r="C13" i="16"/>
  <c r="D13" i="16" s="1"/>
  <c r="C14" i="16"/>
  <c r="D14" i="16" s="1"/>
  <c r="C15" i="16"/>
  <c r="C16" i="16"/>
  <c r="D16" i="16" s="1"/>
  <c r="C17" i="16"/>
  <c r="D17" i="16" s="1"/>
  <c r="C19" i="16"/>
  <c r="D19" i="16" s="1"/>
  <c r="C20" i="16"/>
  <c r="D20" i="16" s="1"/>
  <c r="C21" i="16"/>
  <c r="D21" i="16" s="1"/>
  <c r="C22" i="16"/>
  <c r="D22" i="16" s="1"/>
  <c r="C25" i="16"/>
  <c r="D25" i="16" s="1"/>
  <c r="C26" i="16"/>
  <c r="D26" i="16" s="1"/>
  <c r="C27" i="16"/>
  <c r="D27" i="16" s="1"/>
  <c r="C28" i="16"/>
  <c r="D28" i="16" s="1"/>
  <c r="C30" i="16"/>
  <c r="D30" i="16" s="1"/>
  <c r="C33" i="16"/>
  <c r="D33" i="16" s="1"/>
  <c r="C34" i="16"/>
  <c r="C35" i="16"/>
  <c r="D35" i="16" s="1"/>
  <c r="C36" i="16"/>
  <c r="D36" i="16" s="1"/>
  <c r="C37" i="16"/>
  <c r="D37" i="16" s="1"/>
  <c r="C38" i="16"/>
  <c r="D38" i="16" s="1"/>
  <c r="C39" i="16"/>
  <c r="D39" i="16" s="1"/>
  <c r="C41" i="16"/>
  <c r="D41" i="16" s="1"/>
  <c r="C44" i="16"/>
  <c r="D44" i="16" s="1"/>
  <c r="C46" i="16"/>
  <c r="D46" i="16" s="1"/>
  <c r="F10" i="16"/>
  <c r="G10" i="16" s="1"/>
  <c r="F12" i="16"/>
  <c r="G12" i="16" s="1"/>
  <c r="F13" i="16"/>
  <c r="G13" i="16" s="1"/>
  <c r="F14" i="16"/>
  <c r="F15" i="16"/>
  <c r="G15" i="16" s="1"/>
  <c r="F16" i="16"/>
  <c r="G16" i="16" s="1"/>
  <c r="F17" i="16"/>
  <c r="G17" i="16" s="1"/>
  <c r="F19" i="16"/>
  <c r="G19" i="16" s="1"/>
  <c r="F20" i="16"/>
  <c r="G20" i="16" s="1"/>
  <c r="F21" i="16"/>
  <c r="G21" i="16" s="1"/>
  <c r="F22" i="16"/>
  <c r="G22" i="16" s="1"/>
  <c r="F25" i="16"/>
  <c r="G25" i="16" s="1"/>
  <c r="F26" i="16"/>
  <c r="G26" i="16" s="1"/>
  <c r="F27" i="16"/>
  <c r="G27" i="16" s="1"/>
  <c r="F28" i="16"/>
  <c r="G28" i="16" s="1"/>
  <c r="F29" i="16"/>
  <c r="G29" i="16" s="1"/>
  <c r="F30" i="16"/>
  <c r="G30" i="16" s="1"/>
  <c r="F33" i="16"/>
  <c r="G33" i="16" s="1"/>
  <c r="F34" i="16"/>
  <c r="G34" i="16" s="1"/>
  <c r="F35" i="16"/>
  <c r="G35" i="16" s="1"/>
  <c r="F36" i="16"/>
  <c r="G36" i="16" s="1"/>
  <c r="F37" i="16"/>
  <c r="G37" i="16" s="1"/>
  <c r="F38" i="16"/>
  <c r="G38" i="16" s="1"/>
  <c r="F39" i="16"/>
  <c r="G39" i="16" s="1"/>
  <c r="F41" i="16"/>
  <c r="G41" i="16" s="1"/>
  <c r="F44" i="16"/>
  <c r="F46" i="16"/>
  <c r="G46" i="16" s="1"/>
  <c r="B36" i="14" l="1"/>
  <c r="B4" i="7"/>
  <c r="I30" i="14"/>
  <c r="B18" i="14"/>
  <c r="B3" i="7"/>
  <c r="I12" i="14"/>
  <c r="C12" i="14"/>
  <c r="D12" i="14" s="1"/>
  <c r="C14" i="7"/>
  <c r="C21" i="7"/>
  <c r="F43" i="14"/>
  <c r="G43" i="14" s="1"/>
  <c r="E18" i="14"/>
  <c r="C3" i="7"/>
  <c r="F12" i="14"/>
  <c r="D21" i="7"/>
  <c r="D14" i="7"/>
  <c r="D3" i="7"/>
  <c r="H18" i="14"/>
  <c r="B21" i="7"/>
  <c r="B14" i="7"/>
  <c r="I43" i="14"/>
  <c r="C43" i="14"/>
  <c r="D43" i="14" s="1"/>
  <c r="H35" i="13"/>
  <c r="L4" i="7"/>
  <c r="L3" i="7"/>
  <c r="K29" i="13"/>
  <c r="J4" i="7"/>
  <c r="J3" i="7"/>
  <c r="E36" i="14"/>
  <c r="C30" i="14"/>
  <c r="D30" i="14" s="1"/>
  <c r="K9" i="14"/>
  <c r="K10" i="14"/>
  <c r="K11" i="14"/>
  <c r="K12" i="14"/>
  <c r="K14" i="14"/>
  <c r="K16" i="14"/>
  <c r="K17" i="14"/>
  <c r="K18" i="14"/>
  <c r="K21" i="14"/>
  <c r="K22" i="14"/>
  <c r="K23" i="14"/>
  <c r="K24" i="14"/>
  <c r="K25" i="14"/>
  <c r="K26" i="14"/>
  <c r="K27" i="14"/>
  <c r="K29" i="14"/>
  <c r="K32" i="14"/>
  <c r="K34" i="14"/>
  <c r="K35" i="14"/>
  <c r="K38" i="14"/>
  <c r="K39" i="14"/>
  <c r="K40" i="14"/>
  <c r="K41" i="14"/>
  <c r="K42" i="14"/>
  <c r="K43" i="14"/>
  <c r="K8" i="14"/>
  <c r="H36" i="14"/>
  <c r="K30" i="14"/>
  <c r="F30" i="14"/>
  <c r="J9" i="14"/>
  <c r="J14" i="14"/>
  <c r="J21" i="14"/>
  <c r="J25" i="14"/>
  <c r="J30" i="14"/>
  <c r="J38" i="14"/>
  <c r="J42" i="14"/>
  <c r="C18" i="14"/>
  <c r="D18" i="14" s="1"/>
  <c r="F36" i="14"/>
  <c r="C36" i="14"/>
  <c r="D36" i="14" s="1"/>
  <c r="C12" i="13"/>
  <c r="D12" i="13" s="1"/>
  <c r="B20" i="13"/>
  <c r="E20" i="13"/>
  <c r="F20" i="13" s="1"/>
  <c r="G20" i="13" s="1"/>
  <c r="F12" i="13"/>
  <c r="G12" i="13" s="1"/>
  <c r="B35" i="13"/>
  <c r="C29" i="13"/>
  <c r="D29" i="13" s="1"/>
  <c r="F29" i="13"/>
  <c r="G29" i="13" s="1"/>
  <c r="E35" i="13"/>
  <c r="H44" i="14"/>
  <c r="K44" i="14" s="1"/>
  <c r="E44" i="14"/>
  <c r="B44" i="14"/>
  <c r="I44" i="14" s="1"/>
  <c r="C20" i="7" l="1"/>
  <c r="C7" i="7"/>
  <c r="J41" i="14"/>
  <c r="J29" i="14"/>
  <c r="J18" i="14"/>
  <c r="J36" i="14"/>
  <c r="J43" i="14"/>
  <c r="J39" i="14"/>
  <c r="J32" i="14"/>
  <c r="J26" i="14"/>
  <c r="J22" i="14"/>
  <c r="J16" i="14"/>
  <c r="J10" i="14"/>
  <c r="K36" i="14"/>
  <c r="D13" i="7"/>
  <c r="D12" i="7"/>
  <c r="C12" i="7"/>
  <c r="C13" i="7"/>
  <c r="B20" i="7"/>
  <c r="B7" i="7"/>
  <c r="I9" i="14"/>
  <c r="I14" i="14"/>
  <c r="I18" i="14"/>
  <c r="I24" i="14"/>
  <c r="I28" i="14"/>
  <c r="I33" i="14"/>
  <c r="I38" i="14"/>
  <c r="I42" i="14"/>
  <c r="I11" i="14"/>
  <c r="I22" i="14"/>
  <c r="I26" i="14"/>
  <c r="I35" i="14"/>
  <c r="I23" i="14"/>
  <c r="I32" i="14"/>
  <c r="I41" i="14"/>
  <c r="I8" i="14"/>
  <c r="I10" i="14"/>
  <c r="I15" i="14"/>
  <c r="I21" i="14"/>
  <c r="I25" i="14"/>
  <c r="I29" i="14"/>
  <c r="I34" i="14"/>
  <c r="I39" i="14"/>
  <c r="I16" i="14"/>
  <c r="I40" i="14"/>
  <c r="I17" i="14"/>
  <c r="I27" i="14"/>
  <c r="F18" i="14"/>
  <c r="J35" i="14"/>
  <c r="J24" i="14"/>
  <c r="J12" i="14"/>
  <c r="J8" i="14"/>
  <c r="J40" i="14"/>
  <c r="J34" i="14"/>
  <c r="J27" i="14"/>
  <c r="J23" i="14"/>
  <c r="J17" i="14"/>
  <c r="J11" i="14"/>
  <c r="D20" i="7"/>
  <c r="D7" i="7"/>
  <c r="B12" i="7"/>
  <c r="B13" i="7"/>
  <c r="I36" i="14"/>
  <c r="H44" i="13"/>
  <c r="K44" i="13" s="1"/>
  <c r="L13" i="7"/>
  <c r="L12" i="7"/>
  <c r="K35" i="13"/>
  <c r="J13" i="7"/>
  <c r="J12" i="7"/>
  <c r="J44" i="14"/>
  <c r="F44" i="14"/>
  <c r="C44" i="14"/>
  <c r="D44" i="14" s="1"/>
  <c r="I9" i="13"/>
  <c r="I10" i="13"/>
  <c r="I11" i="13"/>
  <c r="I14" i="13"/>
  <c r="I15" i="13"/>
  <c r="I16" i="13"/>
  <c r="I17" i="13"/>
  <c r="I18" i="13"/>
  <c r="I19" i="13"/>
  <c r="I20" i="13"/>
  <c r="I22" i="13"/>
  <c r="I23" i="13"/>
  <c r="I24" i="13"/>
  <c r="I25" i="13"/>
  <c r="I26" i="13"/>
  <c r="I27" i="13"/>
  <c r="I28" i="13"/>
  <c r="I29" i="13"/>
  <c r="I31" i="13"/>
  <c r="I32" i="13"/>
  <c r="I33" i="13"/>
  <c r="I34" i="13"/>
  <c r="I35" i="13"/>
  <c r="I39" i="13"/>
  <c r="I41" i="13"/>
  <c r="I42" i="13"/>
  <c r="I43" i="13"/>
  <c r="I8" i="13"/>
  <c r="I12" i="13"/>
  <c r="E44" i="13"/>
  <c r="F44" i="13" s="1"/>
  <c r="G44" i="13" s="1"/>
  <c r="F35" i="13"/>
  <c r="G35" i="13" s="1"/>
  <c r="B44" i="13"/>
  <c r="C35" i="13"/>
  <c r="D35" i="13" s="1"/>
  <c r="D20" i="13"/>
  <c r="H40" i="16"/>
  <c r="E40" i="16"/>
  <c r="F40" i="16" s="1"/>
  <c r="G40" i="16" s="1"/>
  <c r="B40" i="16"/>
  <c r="C40" i="16" s="1"/>
  <c r="D40" i="16" s="1"/>
  <c r="H31" i="16"/>
  <c r="E31" i="16"/>
  <c r="B31" i="16"/>
  <c r="C31" i="16" s="1"/>
  <c r="D31" i="16" s="1"/>
  <c r="B14" i="1"/>
  <c r="E10" i="8"/>
  <c r="H10" i="8"/>
  <c r="C44" i="13" l="1"/>
  <c r="D44" i="13" s="1"/>
  <c r="I44" i="13"/>
  <c r="J18" i="7"/>
  <c r="F10" i="8"/>
  <c r="G10" i="8" s="1"/>
  <c r="C10" i="8"/>
  <c r="D10" i="8" s="1"/>
  <c r="G12" i="14"/>
  <c r="G30" i="14"/>
  <c r="F31" i="16"/>
  <c r="G31" i="16" s="1"/>
  <c r="B17" i="1"/>
  <c r="B19" i="1" l="1"/>
  <c r="G44" i="14"/>
  <c r="G36" i="14"/>
  <c r="G18" i="14"/>
  <c r="B8" i="16"/>
  <c r="H10" i="1"/>
  <c r="E10" i="1"/>
  <c r="F10" i="1" l="1"/>
  <c r="G10" i="1" s="1"/>
  <c r="J19" i="7"/>
  <c r="H21" i="17"/>
  <c r="C10" i="1"/>
  <c r="D10" i="1" s="1"/>
  <c r="H14" i="1"/>
  <c r="E14" i="1"/>
  <c r="H17" i="1"/>
  <c r="B23" i="16"/>
  <c r="K18" i="7" l="1"/>
  <c r="L18" i="7"/>
  <c r="F14" i="1"/>
  <c r="G14" i="1" s="1"/>
  <c r="C14" i="1"/>
  <c r="D14" i="1" s="1"/>
  <c r="H19" i="1"/>
  <c r="H8" i="16"/>
  <c r="H23" i="16" s="1"/>
  <c r="H43" i="16" s="1"/>
  <c r="H45" i="16" s="1"/>
  <c r="H47" i="16" s="1"/>
  <c r="E17" i="1"/>
  <c r="B43" i="16"/>
  <c r="F17" i="1" l="1"/>
  <c r="G17" i="1" s="1"/>
  <c r="L19" i="7"/>
  <c r="C8" i="17"/>
  <c r="D8" i="17" s="1"/>
  <c r="B21" i="17"/>
  <c r="F8" i="17"/>
  <c r="G8" i="17" s="1"/>
  <c r="E21" i="17"/>
  <c r="F21" i="17" s="1"/>
  <c r="G21" i="17" s="1"/>
  <c r="C17" i="1"/>
  <c r="D17" i="1" s="1"/>
  <c r="E19" i="1"/>
  <c r="B45" i="16"/>
  <c r="K19" i="7" l="1"/>
  <c r="C21" i="17"/>
  <c r="D21" i="17" s="1"/>
  <c r="F19" i="1"/>
  <c r="G19" i="1" s="1"/>
  <c r="C19" i="1"/>
  <c r="D19" i="1" s="1"/>
  <c r="E8" i="16"/>
  <c r="B47" i="16"/>
  <c r="E23" i="16" l="1"/>
  <c r="F8" i="16"/>
  <c r="G8" i="16" s="1"/>
  <c r="C8" i="16"/>
  <c r="D8" i="16" s="1"/>
  <c r="E43" i="16" l="1"/>
  <c r="F23" i="16"/>
  <c r="G23" i="16" s="1"/>
  <c r="C23" i="16"/>
  <c r="D23" i="16" s="1"/>
  <c r="E45" i="16" l="1"/>
  <c r="F43" i="16"/>
  <c r="G43" i="16" s="1"/>
  <c r="C43" i="16"/>
  <c r="D43" i="16" s="1"/>
  <c r="E47" i="16" l="1"/>
  <c r="F45" i="16"/>
  <c r="G45" i="16" s="1"/>
  <c r="C45" i="16"/>
  <c r="D45" i="16" s="1"/>
  <c r="F47" i="16" l="1"/>
  <c r="G47" i="16" s="1"/>
  <c r="C47" i="16"/>
  <c r="D47" i="16" s="1"/>
  <c r="C9" i="18"/>
  <c r="D9" i="18" s="1"/>
  <c r="F17" i="7" s="1"/>
  <c r="B10" i="18"/>
  <c r="B16" i="18" s="1"/>
  <c r="B22" i="18" s="1"/>
  <c r="C10" i="18"/>
  <c r="F9" i="18" l="1"/>
  <c r="F6" i="7"/>
  <c r="D10" i="18"/>
  <c r="F5" i="7" s="1"/>
  <c r="E9" i="18"/>
  <c r="C16" i="18"/>
  <c r="N6" i="7" l="1"/>
  <c r="N5" i="7"/>
  <c r="N17" i="7"/>
  <c r="F10" i="18"/>
  <c r="F16" i="18" s="1"/>
  <c r="B13" i="21" s="1"/>
  <c r="G9" i="18"/>
  <c r="G10" i="18" s="1"/>
  <c r="H9" i="18"/>
  <c r="G17" i="7" s="1"/>
  <c r="L9" i="18"/>
  <c r="H17" i="7" s="1"/>
  <c r="D16" i="18"/>
  <c r="E10" i="18"/>
  <c r="B23" i="18"/>
  <c r="C23" i="18" s="1"/>
  <c r="C22" i="18"/>
  <c r="B24" i="18"/>
  <c r="A5" i="21" l="1"/>
  <c r="A7" i="21"/>
  <c r="E33" i="19"/>
  <c r="E34" i="19"/>
  <c r="E19" i="20" s="1"/>
  <c r="E35" i="19"/>
  <c r="E20" i="20" s="1"/>
  <c r="E32" i="19"/>
  <c r="F22" i="18"/>
  <c r="F23" i="18" s="1"/>
  <c r="F24" i="18" s="1"/>
  <c r="N23" i="7" s="1"/>
  <c r="P20" i="7"/>
  <c r="N20" i="7"/>
  <c r="N18" i="7"/>
  <c r="N15" i="7"/>
  <c r="D22" i="18"/>
  <c r="G20" i="7"/>
  <c r="F20" i="7"/>
  <c r="F18" i="7"/>
  <c r="M9" i="18"/>
  <c r="H6" i="7"/>
  <c r="L10" i="18"/>
  <c r="H10" i="18"/>
  <c r="J9" i="18"/>
  <c r="G6" i="7"/>
  <c r="G5" i="7"/>
  <c r="I9" i="18"/>
  <c r="C24" i="18"/>
  <c r="B8" i="20"/>
  <c r="B21" i="20" s="1"/>
  <c r="B37" i="20" s="1"/>
  <c r="B40" i="20" s="1"/>
  <c r="B41" i="20" s="1"/>
  <c r="B40" i="19"/>
  <c r="E16" i="18"/>
  <c r="J10" i="18" l="1"/>
  <c r="J16" i="18" s="1"/>
  <c r="O5" i="7"/>
  <c r="K9" i="18"/>
  <c r="K10" i="18" s="1"/>
  <c r="O17" i="7"/>
  <c r="O6" i="7"/>
  <c r="M10" i="18"/>
  <c r="M16" i="18" s="1"/>
  <c r="P5" i="7"/>
  <c r="N9" i="18"/>
  <c r="N10" i="18" s="1"/>
  <c r="P17" i="7"/>
  <c r="P6" i="7"/>
  <c r="E8" i="20"/>
  <c r="E21" i="20" s="1"/>
  <c r="N19" i="7"/>
  <c r="E31" i="20"/>
  <c r="E36" i="20" s="1"/>
  <c r="E36" i="19"/>
  <c r="B43" i="19"/>
  <c r="B44" i="19" s="1"/>
  <c r="B45" i="19" s="1"/>
  <c r="E40" i="19"/>
  <c r="H16" i="18"/>
  <c r="I10" i="18"/>
  <c r="L16" i="18"/>
  <c r="H5" i="7"/>
  <c r="E22" i="18"/>
  <c r="D23" i="18"/>
  <c r="F15" i="7" s="1"/>
  <c r="E43" i="19" l="1"/>
  <c r="N13" i="7"/>
  <c r="N12" i="7"/>
  <c r="E37" i="20"/>
  <c r="E40" i="20" s="1"/>
  <c r="E41" i="20" s="1"/>
  <c r="K32" i="19"/>
  <c r="K33" i="19"/>
  <c r="K34" i="19"/>
  <c r="K35" i="19"/>
  <c r="M22" i="18"/>
  <c r="M23" i="18" s="1"/>
  <c r="M24" i="18" s="1"/>
  <c r="P18" i="7"/>
  <c r="P15" i="7"/>
  <c r="H35" i="19"/>
  <c r="H20" i="20" s="1"/>
  <c r="H34" i="19"/>
  <c r="H19" i="20" s="1"/>
  <c r="H33" i="19"/>
  <c r="H32" i="19"/>
  <c r="J22" i="18"/>
  <c r="J23" i="18" s="1"/>
  <c r="J24" i="18" s="1"/>
  <c r="O20" i="7"/>
  <c r="O18" i="7"/>
  <c r="O15" i="7"/>
  <c r="H20" i="7"/>
  <c r="H18" i="7"/>
  <c r="L22" i="18"/>
  <c r="H22" i="18"/>
  <c r="G18" i="7"/>
  <c r="I16" i="18"/>
  <c r="D24" i="18"/>
  <c r="E23" i="18"/>
  <c r="H8" i="20" l="1"/>
  <c r="H21" i="20" s="1"/>
  <c r="O19" i="7"/>
  <c r="H40" i="19"/>
  <c r="H31" i="20"/>
  <c r="H36" i="20" s="1"/>
  <c r="H37" i="20" s="1"/>
  <c r="H40" i="20" s="1"/>
  <c r="H41" i="20" s="1"/>
  <c r="H36" i="19"/>
  <c r="K8" i="20"/>
  <c r="P19" i="7"/>
  <c r="K20" i="20"/>
  <c r="K19" i="20"/>
  <c r="K31" i="20"/>
  <c r="K36" i="20" s="1"/>
  <c r="K36" i="19"/>
  <c r="E44" i="19"/>
  <c r="E45" i="19" s="1"/>
  <c r="N21" i="7"/>
  <c r="N14" i="7" a="1"/>
  <c r="N14" i="7" s="1"/>
  <c r="I22" i="18"/>
  <c r="H23" i="18"/>
  <c r="H24" i="18"/>
  <c r="L23" i="18"/>
  <c r="E24" i="18"/>
  <c r="F19" i="7"/>
  <c r="D8" i="20"/>
  <c r="D21" i="20" s="1"/>
  <c r="D37" i="20" s="1"/>
  <c r="D40" i="20" s="1"/>
  <c r="D41" i="20" s="1"/>
  <c r="D40" i="19"/>
  <c r="L24" i="18" l="1"/>
  <c r="H15" i="7"/>
  <c r="I23" i="18"/>
  <c r="G15" i="7"/>
  <c r="P12" i="7"/>
  <c r="K21" i="20"/>
  <c r="K37" i="20" s="1"/>
  <c r="K40" i="20" s="1"/>
  <c r="K41" i="20" s="1"/>
  <c r="O12" i="7"/>
  <c r="K40" i="19"/>
  <c r="K43" i="19" s="1"/>
  <c r="H43" i="19"/>
  <c r="H19" i="7"/>
  <c r="J8" i="20"/>
  <c r="J21" i="20" s="1"/>
  <c r="J37" i="20" s="1"/>
  <c r="J40" i="20" s="1"/>
  <c r="J41" i="20" s="1"/>
  <c r="G19" i="7"/>
  <c r="G8" i="20"/>
  <c r="G21" i="20" s="1"/>
  <c r="G37" i="20" s="1"/>
  <c r="G40" i="20" s="1"/>
  <c r="G41" i="20" s="1"/>
  <c r="I24" i="18"/>
  <c r="D43" i="19"/>
  <c r="F14" i="7" s="1"/>
  <c r="G40" i="19"/>
  <c r="H44" i="19" l="1"/>
  <c r="H45" i="19" s="1"/>
  <c r="O21" i="7"/>
  <c r="O14" i="7" a="1"/>
  <c r="O14" i="7" s="1"/>
  <c r="O13" i="7"/>
  <c r="K44" i="19"/>
  <c r="K45" i="19" s="1"/>
  <c r="P21" i="7"/>
  <c r="P14" i="7"/>
  <c r="P13" i="7"/>
  <c r="J40" i="19"/>
  <c r="J43" i="19" s="1"/>
  <c r="H14" i="7" s="1"/>
  <c r="G43" i="19"/>
  <c r="F13" i="7"/>
  <c r="D44" i="19"/>
  <c r="D45" i="19" s="1"/>
  <c r="F21" i="7"/>
  <c r="G14" i="7" l="1"/>
  <c r="G13" i="7"/>
  <c r="G44" i="19"/>
  <c r="G45" i="19" s="1"/>
  <c r="G21" i="7"/>
  <c r="H21" i="7"/>
  <c r="H13" i="7"/>
  <c r="J44" i="19"/>
  <c r="J45" i="1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<sst xmlns="http://schemas.openxmlformats.org/spreadsheetml/2006/main" count="464" uniqueCount="260">
  <si>
    <t xml:space="preserve">The Home Depot Inc. </t>
  </si>
  <si>
    <t xml:space="preserve"> Income Statement</t>
  </si>
  <si>
    <t>For Years Ended 2020, 2019, 2018</t>
  </si>
  <si>
    <t xml:space="preserve">$'s in Millions, Except per Share Amount 							</t>
  </si>
  <si>
    <t xml:space="preserve">Vertical Analysis </t>
  </si>
  <si>
    <t>Feb. 02, 2020</t>
  </si>
  <si>
    <t xml:space="preserve">$ Change </t>
  </si>
  <si>
    <t>% Change</t>
  </si>
  <si>
    <t>Feb. 03, 2019</t>
  </si>
  <si>
    <t>Jan. 28, 2018</t>
  </si>
  <si>
    <t>Revenues:</t>
  </si>
  <si>
    <t>Net sales</t>
  </si>
  <si>
    <t xml:space="preserve"> </t>
  </si>
  <si>
    <t>Cost of sales</t>
  </si>
  <si>
    <t>Gross profit</t>
  </si>
  <si>
    <t>Operating expenses:</t>
  </si>
  <si>
    <t>Selling, general and administrative</t>
  </si>
  <si>
    <t>Depreciation and amortization</t>
  </si>
  <si>
    <t>Impairment loss</t>
  </si>
  <si>
    <t>Total operating expenses</t>
  </si>
  <si>
    <t>Operating income</t>
  </si>
  <si>
    <t>Interest and other (income) expense:</t>
  </si>
  <si>
    <t>Interest and investment income</t>
  </si>
  <si>
    <t>Interest expense</t>
  </si>
  <si>
    <t>Other</t>
  </si>
  <si>
    <t>Interest and other, net</t>
  </si>
  <si>
    <t>Earnings before provision for income taxes</t>
  </si>
  <si>
    <t>Provision for income taxes</t>
  </si>
  <si>
    <t>Net Earnings</t>
  </si>
  <si>
    <t>Basic weighted average common shares (in shares)</t>
  </si>
  <si>
    <t>Basic earnings per share (in dollars per share)</t>
  </si>
  <si>
    <t>Diluted weighted average common shares (in shares)</t>
  </si>
  <si>
    <t>Diluted earnings per share (in dollars per shares)</t>
  </si>
  <si>
    <t xml:space="preserve"> Balance Sheet</t>
  </si>
  <si>
    <t xml:space="preserve">Current Assets </t>
  </si>
  <si>
    <t>Cash and cash equivalents</t>
  </si>
  <si>
    <t>Receivables, net</t>
  </si>
  <si>
    <t>Merchandise inventories</t>
  </si>
  <si>
    <t>Other current assets</t>
  </si>
  <si>
    <t>Total current assets</t>
  </si>
  <si>
    <t>Net property and equipment</t>
  </si>
  <si>
    <t>Operating lease right-of-use assets</t>
  </si>
  <si>
    <t>Goodwill</t>
  </si>
  <si>
    <t>Other assets</t>
  </si>
  <si>
    <t>Total assets</t>
  </si>
  <si>
    <t>Stockholders’ Equity</t>
  </si>
  <si>
    <t>Current liabilities:</t>
  </si>
  <si>
    <t>Short-term debt</t>
  </si>
  <si>
    <t>Accounts payable</t>
  </si>
  <si>
    <t>Accrued salaries and related expenses</t>
  </si>
  <si>
    <t>Sales taxes payable</t>
  </si>
  <si>
    <t>Deferred revenue</t>
  </si>
  <si>
    <t>Income taxes payable</t>
  </si>
  <si>
    <t>Current installments of long-term debt</t>
  </si>
  <si>
    <t>Current operating lease liabilities</t>
  </si>
  <si>
    <t>Other accrued expenses</t>
  </si>
  <si>
    <t>Total current liabilities</t>
  </si>
  <si>
    <t>Long-term debt, excluding current installments</t>
  </si>
  <si>
    <t>Long-term operating lease liabilities</t>
  </si>
  <si>
    <t>Deferred income taxes</t>
  </si>
  <si>
    <t>Other long-term liabilities</t>
  </si>
  <si>
    <t>Total liabilities</t>
  </si>
  <si>
    <t>Stockholders' Equity</t>
  </si>
  <si>
    <t>Common stock, par value $0.05</t>
  </si>
  <si>
    <t>Paid-in capital</t>
  </si>
  <si>
    <t>Retained earnings</t>
  </si>
  <si>
    <t>Accumulated other comprehensive loss</t>
  </si>
  <si>
    <t>Treasury stock, at cost, 709 shares at February 2, 2020 and 677 shares at February 3, 2019</t>
  </si>
  <si>
    <t>Total stockholders’ (deficit) equity</t>
  </si>
  <si>
    <t>Total liabilities and stockholders’ equity</t>
  </si>
  <si>
    <t>Shares outstanding (in millions)</t>
  </si>
  <si>
    <t>Stock price at close</t>
  </si>
  <si>
    <t>Statement of Cash Flows</t>
  </si>
  <si>
    <t xml:space="preserve">$'s in Millions, Except per Share Amount 			</t>
  </si>
  <si>
    <t>Cash Flows from Operating Activities:</t>
  </si>
  <si>
    <t>Net earnings</t>
  </si>
  <si>
    <t>Reconciliation of net earnings to net cash provided by operating activities:</t>
  </si>
  <si>
    <t>Stock-based compensation expense</t>
  </si>
  <si>
    <t>Changes in receivables, net</t>
  </si>
  <si>
    <t>Changes in merchandise inventories</t>
  </si>
  <si>
    <t>Changes in other current assets</t>
  </si>
  <si>
    <t>Changes in accounts payable and accrued expenses</t>
  </si>
  <si>
    <t>Changes in deferred revenue</t>
  </si>
  <si>
    <t>Changes in income taxes payable</t>
  </si>
  <si>
    <t>Changes in deferred income taxes</t>
  </si>
  <si>
    <t>Other operating activities</t>
  </si>
  <si>
    <t>Net cash provided by operating activities</t>
  </si>
  <si>
    <t>Cash Flows from Investing Activities:</t>
  </si>
  <si>
    <t>Capital expenditures</t>
  </si>
  <si>
    <t>Payments for businesses acquired, net</t>
  </si>
  <si>
    <t>Proceeds from sales of property and equipment</t>
  </si>
  <si>
    <t>Other investing activities</t>
  </si>
  <si>
    <t>Net cash used in investing activities</t>
  </si>
  <si>
    <t>Cash Flows from Financing Activities:</t>
  </si>
  <si>
    <t>(Repayments of) proceeds from short-term debt, net</t>
  </si>
  <si>
    <t>Proceeds from long-term debt, net of discounts and premiums</t>
  </si>
  <si>
    <t>Repayments of long-term debt</t>
  </si>
  <si>
    <t>Repurchases of common stock</t>
  </si>
  <si>
    <t>Proceeds from sales of common stock</t>
  </si>
  <si>
    <t>Cash dividends</t>
  </si>
  <si>
    <t>Other financing activities</t>
  </si>
  <si>
    <t>Net cash used in financing activities</t>
  </si>
  <si>
    <t>Change in cash and cash equivalents</t>
  </si>
  <si>
    <t>Effect of exchange rate changes on cash and cash equivalents</t>
  </si>
  <si>
    <t>Cash and cash equivalents at beginning of year</t>
  </si>
  <si>
    <t>Cash and cash equivalents at end of year</t>
  </si>
  <si>
    <t>Supplemental Disclosures:</t>
  </si>
  <si>
    <t>Cash paid for income taxes</t>
  </si>
  <si>
    <t>Cash paid for interest, net of interest capitalized</t>
  </si>
  <si>
    <t>Non-cash capital expenditures</t>
  </si>
  <si>
    <t xml:space="preserve">Home Depot </t>
  </si>
  <si>
    <t xml:space="preserve">Home Depot Forecasted Ratios for "Without" Strategy </t>
  </si>
  <si>
    <t>Lowes Companies Inc.</t>
  </si>
  <si>
    <t xml:space="preserve">Home Depot Forecasted Ratios for "With" Strategy </t>
  </si>
  <si>
    <t>Liquidity Ratios</t>
  </si>
  <si>
    <t>Current Ratio</t>
  </si>
  <si>
    <t>Quick Ratio</t>
  </si>
  <si>
    <t>Inventory Turnover</t>
  </si>
  <si>
    <t>Days in Inventory</t>
  </si>
  <si>
    <t>Total Asset Turnover</t>
  </si>
  <si>
    <t>Fixed Asset Turnover</t>
  </si>
  <si>
    <t>Accounts Receivable Turnover</t>
  </si>
  <si>
    <t>Days in AR</t>
  </si>
  <si>
    <t>Leverage/Solvency Ratios</t>
  </si>
  <si>
    <t>Debt to Total Assets</t>
  </si>
  <si>
    <t xml:space="preserve">Debt to Equity </t>
  </si>
  <si>
    <t>Long-Term Debt to Equity</t>
  </si>
  <si>
    <t>Times Interest Earned</t>
  </si>
  <si>
    <t>Profitability Ratios</t>
  </si>
  <si>
    <t>Gross Profit Margin</t>
  </si>
  <si>
    <t>Operating Profit Margin</t>
  </si>
  <si>
    <t>Net Profit Margin</t>
  </si>
  <si>
    <t>Return on Total Assets</t>
  </si>
  <si>
    <t>Return on Stockholders Equity</t>
  </si>
  <si>
    <t>Market Prospects</t>
  </si>
  <si>
    <t>Earnings per Share</t>
  </si>
  <si>
    <t>Price-Earnings Ratio</t>
  </si>
  <si>
    <t>N/A</t>
  </si>
  <si>
    <t>The Home Depot</t>
  </si>
  <si>
    <t xml:space="preserve">Proforma Income Statement </t>
  </si>
  <si>
    <t xml:space="preserve">For Years Ended 2023, 2024, 2025										</t>
  </si>
  <si>
    <t xml:space="preserve">$'s in Millions </t>
  </si>
  <si>
    <t>Feb. 02, 2022</t>
  </si>
  <si>
    <t>Feb. 03, 2023</t>
  </si>
  <si>
    <t>Feb. 02, 2024</t>
  </si>
  <si>
    <t>Feb. 03, 2025</t>
  </si>
  <si>
    <t>% Increase</t>
  </si>
  <si>
    <t xml:space="preserve">Without Strategy </t>
  </si>
  <si>
    <t xml:space="preserve">With Strategy </t>
  </si>
  <si>
    <t>With Strategy</t>
  </si>
  <si>
    <t>Proforma Balance Sheet</t>
  </si>
  <si>
    <t>For Years Ended 2023, 2024, 2025</t>
  </si>
  <si>
    <t>Treasury stock, at cost</t>
  </si>
  <si>
    <t xml:space="preserve">The Home Depot </t>
  </si>
  <si>
    <t>Proforma Statement of Cash Flows</t>
  </si>
  <si>
    <t xml:space="preserve">$'s in Millions			</t>
  </si>
  <si>
    <t>Employee makes $11/hour</t>
  </si>
  <si>
    <t>Firehouse Subs</t>
  </si>
  <si>
    <t>Year 2023</t>
  </si>
  <si>
    <t>Year 2024</t>
  </si>
  <si>
    <t>Year 2025</t>
  </si>
  <si>
    <t>$20,000 per store</t>
  </si>
  <si>
    <t>COGS equals</t>
  </si>
  <si>
    <t>Totals (In millions)</t>
  </si>
  <si>
    <t>Per Store</t>
  </si>
  <si>
    <t>Sales</t>
  </si>
  <si>
    <t>6% royalty of sales every year</t>
  </si>
  <si>
    <t>NPV</t>
  </si>
  <si>
    <t>Average store makes $655,400 ours will make 2/3</t>
  </si>
  <si>
    <t>COGS</t>
  </si>
  <si>
    <t>$60 per sqft for 1000 sqft</t>
  </si>
  <si>
    <t>Employees</t>
  </si>
  <si>
    <t>IRR</t>
  </si>
  <si>
    <t>3% Advertising fee</t>
  </si>
  <si>
    <t>Royalty Cost</t>
  </si>
  <si>
    <t>8 week per store Training $50 per day per person</t>
  </si>
  <si>
    <t>Benefits(20%)</t>
  </si>
  <si>
    <t>Average hiring cost for a large company is $3,000 per hire</t>
  </si>
  <si>
    <t xml:space="preserve">Training </t>
  </si>
  <si>
    <t>Total Income (Cost) Per Year</t>
  </si>
  <si>
    <t>50 million for negotiations in year 1</t>
  </si>
  <si>
    <t xml:space="preserve">Recruiting </t>
  </si>
  <si>
    <t>Insurance</t>
  </si>
  <si>
    <t xml:space="preserve">Utilities </t>
  </si>
  <si>
    <t>Phone/Internet</t>
  </si>
  <si>
    <t>Furniture &amp; Fixtures</t>
  </si>
  <si>
    <t xml:space="preserve">Advertising </t>
  </si>
  <si>
    <t>Total Costs</t>
  </si>
  <si>
    <t xml:space="preserve">Return on total assets 2019 used as hurdle rate </t>
  </si>
  <si>
    <t>Operating Income</t>
  </si>
  <si>
    <t>Increase of sales from store traffic</t>
  </si>
  <si>
    <t>Total Projected sales increase</t>
  </si>
  <si>
    <t>Cost of building stores</t>
  </si>
  <si>
    <t xml:space="preserve">Income Statement </t>
  </si>
  <si>
    <t xml:space="preserve">$'s in Millions, Except per Share Amount </t>
  </si>
  <si>
    <t>$ Change</t>
  </si>
  <si>
    <t>Gross margin</t>
  </si>
  <si>
    <t>Expenses:</t>
  </si>
  <si>
    <t>Interest - net</t>
  </si>
  <si>
    <t>Loss on extinguishment of debt</t>
  </si>
  <si>
    <t>Pre-tax earnings</t>
  </si>
  <si>
    <t>Income tax provision</t>
  </si>
  <si>
    <t>Basic earnings per common share (in dollars per share)</t>
  </si>
  <si>
    <t>Diluted earnings per common share (in dollars per share)</t>
  </si>
  <si>
    <t>Cash dividends per share (in dollars per share)</t>
  </si>
  <si>
    <t>Lowes Companies Inc</t>
  </si>
  <si>
    <t>Balance Sheet</t>
  </si>
  <si>
    <t>For Years ended 2020, 2019, 2018</t>
  </si>
  <si>
    <t>Current assets:</t>
  </si>
  <si>
    <t>Short-term investments</t>
  </si>
  <si>
    <t>Merchandise inventory - net</t>
  </si>
  <si>
    <t>Property, less accumulated depreciation</t>
  </si>
  <si>
    <t>Long-term investments</t>
  </si>
  <si>
    <t>Deferred income taxes - net</t>
  </si>
  <si>
    <t>Short-term borrowings</t>
  </si>
  <si>
    <t>Current maturities of long-term debt</t>
  </si>
  <si>
    <t>Accrued compensation and employee benefits</t>
  </si>
  <si>
    <t>Other current liabilities</t>
  </si>
  <si>
    <t>Long-term debt, excluding current maturities</t>
  </si>
  <si>
    <t>Noncurrent operating lease liabilities</t>
  </si>
  <si>
    <t>Deferred revenue - extended protection plans</t>
  </si>
  <si>
    <t>Other liabilities</t>
  </si>
  <si>
    <t>Commitments and contingencies</t>
  </si>
  <si>
    <t>Shareholders’ equity:</t>
  </si>
  <si>
    <t>Preferred stock - $5 par value, none issued</t>
  </si>
  <si>
    <t>Common stock - $.50 par value; Shares issued and outstanding 763 at January 31, 2020 and 801 at February 1, 2019, respectively</t>
  </si>
  <si>
    <t>Capital in excess of par value</t>
  </si>
  <si>
    <t>Total shareholders’ equity</t>
  </si>
  <si>
    <t>Total liabilities and shareholders’ equity</t>
  </si>
  <si>
    <t xml:space="preserve"> Statement of Cash Flows</t>
  </si>
  <si>
    <t>Cash flows from operating activities:</t>
  </si>
  <si>
    <t>Adjustments to reconcile net earnings to net cash provided by operating activities:</t>
  </si>
  <si>
    <t>Noncash lease expense</t>
  </si>
  <si>
    <t>Loss on property and other assets - net</t>
  </si>
  <si>
    <t>Impairment of goodwill</t>
  </si>
  <si>
    <t>Loss/(gain) on cost method and equity method investments</t>
  </si>
  <si>
    <t>Share-based payment expense</t>
  </si>
  <si>
    <t>Changes in operating assets and liabilities:</t>
  </si>
  <si>
    <t>Merchandise inventory – net</t>
  </si>
  <si>
    <t>Other operating assets</t>
  </si>
  <si>
    <t>Other operating liabilities</t>
  </si>
  <si>
    <t>Cash Flows from investing activities:</t>
  </si>
  <si>
    <t>Purchases of investments</t>
  </si>
  <si>
    <t>Proceeds from sale/maturity of investments</t>
  </si>
  <si>
    <t>Proceeds from sale of property and other long-term assets</t>
  </si>
  <si>
    <t>Acquisition of business - net</t>
  </si>
  <si>
    <t>Other – net</t>
  </si>
  <si>
    <t>Cash flows from financing activities:</t>
  </si>
  <si>
    <t>Net change in commercial paper</t>
  </si>
  <si>
    <t>Net proceeds from issuance of debt</t>
  </si>
  <si>
    <t>Repayment of long-term debt</t>
  </si>
  <si>
    <t>Proceeds from issuance of common stock under share-based payment plans</t>
  </si>
  <si>
    <t>Cash dividend payments</t>
  </si>
  <si>
    <t>Repurchase of common stock</t>
  </si>
  <si>
    <t>Effect of exchange rate changes on cash</t>
  </si>
  <si>
    <t>Net increase/(decrease) in cash and cash equivalents, including cash classified within current assets held for sale</t>
  </si>
  <si>
    <t>Less: Net increase/(decrease) in cash classified within current assets held for sale</t>
  </si>
  <si>
    <t>Net increase/(decrease) in cash and cash equivalents</t>
  </si>
  <si>
    <t>Cash and cash equivalents, beginning of year</t>
  </si>
  <si>
    <t>Cash and cash equivalents,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</si>
</sst>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_(* #,##0_);_(* \(#,##0\);_(* &quot;-&quot;??_);_(@_)"/>
    <numFmt numFmtId="167" formatCode="_(&quot;$&quot;* #,##0.0_);_(&quot;$&quot;* \(#,##0.0\);_(&quot;$&quot;* &quot;-&quot;?_);_(@_)"/>
    <numFmt numFmtId="168" formatCode="_([$$-409]* #,##0_);_([$$-409]* \(#,##0\);_([$$-409]* &quot;-&quot;??_);_(@_)"/>
    <numFmt numFmtId="169" formatCode="_(* #,##0_);_(* \(#,##0\);_(* &quot;-&quot;?_);_(@_)"/>
  </numFmts>
  <fonts count="19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rgb="FF000000"/>
      <name val="Helvetica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22B3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9E1F2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232">
    <xf numFmtId="0" fontId="0" fillId="0" borderId="0" xfId="0"/>
    <xf numFmtId="6" fontId="0" fillId="0" borderId="0" xfId="0" applyNumberFormat="1"/>
    <xf numFmtId="3" fontId="0" fillId="0" borderId="0" xfId="0" applyNumberFormat="1"/>
    <xf numFmtId="0" fontId="0" fillId="0" borderId="0" xfId="0" applyBorder="1"/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Font="1"/>
    <xf numFmtId="0" fontId="8" fillId="0" borderId="0" xfId="0" applyFont="1"/>
    <xf numFmtId="3" fontId="8" fillId="0" borderId="0" xfId="0" applyNumberFormat="1" applyFont="1"/>
    <xf numFmtId="8" fontId="8" fillId="0" borderId="0" xfId="0" applyNumberFormat="1" applyFont="1"/>
    <xf numFmtId="0" fontId="0" fillId="0" borderId="0" xfId="0" applyAlignment="1">
      <alignment horizontal="left" wrapText="1"/>
    </xf>
    <xf numFmtId="3" fontId="0" fillId="0" borderId="0" xfId="0" applyNumberFormat="1" applyFont="1"/>
    <xf numFmtId="0" fontId="0" fillId="0" borderId="5" xfId="0" applyBorder="1"/>
    <xf numFmtId="37" fontId="0" fillId="0" borderId="0" xfId="0" applyNumberFormat="1"/>
    <xf numFmtId="37" fontId="0" fillId="0" borderId="5" xfId="0" applyNumberFormat="1" applyBorder="1"/>
    <xf numFmtId="37" fontId="0" fillId="0" borderId="0" xfId="0" applyNumberFormat="1" applyFont="1"/>
    <xf numFmtId="3" fontId="8" fillId="0" borderId="1" xfId="0" applyNumberFormat="1" applyFont="1" applyBorder="1"/>
    <xf numFmtId="2" fontId="0" fillId="0" borderId="0" xfId="0" applyNumberFormat="1"/>
    <xf numFmtId="0" fontId="7" fillId="0" borderId="0" xfId="0" applyFont="1" applyAlignment="1"/>
    <xf numFmtId="3" fontId="8" fillId="0" borderId="5" xfId="0" applyNumberFormat="1" applyFont="1" applyBorder="1"/>
    <xf numFmtId="0" fontId="11" fillId="0" borderId="0" xfId="0" applyFont="1" applyFill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4" fontId="0" fillId="0" borderId="8" xfId="0" applyNumberFormat="1" applyBorder="1"/>
    <xf numFmtId="0" fontId="13" fillId="0" borderId="0" xfId="0" applyFont="1"/>
    <xf numFmtId="0" fontId="14" fillId="0" borderId="0" xfId="0" applyFont="1"/>
    <xf numFmtId="165" fontId="0" fillId="0" borderId="0" xfId="0" applyNumberFormat="1" applyFont="1"/>
    <xf numFmtId="3" fontId="14" fillId="0" borderId="0" xfId="0" applyNumberFormat="1" applyFont="1"/>
    <xf numFmtId="3" fontId="14" fillId="0" borderId="5" xfId="0" applyNumberFormat="1" applyFont="1" applyBorder="1"/>
    <xf numFmtId="0" fontId="14" fillId="0" borderId="5" xfId="0" applyFont="1" applyBorder="1"/>
    <xf numFmtId="166" fontId="0" fillId="0" borderId="9" xfId="0" applyNumberFormat="1" applyBorder="1"/>
    <xf numFmtId="37" fontId="0" fillId="0" borderId="0" xfId="0" applyNumberFormat="1" applyBorder="1"/>
    <xf numFmtId="37" fontId="0" fillId="0" borderId="1" xfId="0" applyNumberFormat="1" applyBorder="1"/>
    <xf numFmtId="1" fontId="0" fillId="0" borderId="0" xfId="0" applyNumberFormat="1" applyFont="1"/>
    <xf numFmtId="3" fontId="0" fillId="0" borderId="1" xfId="0" applyNumberFormat="1" applyFont="1" applyBorder="1"/>
    <xf numFmtId="3" fontId="0" fillId="0" borderId="4" xfId="0" applyNumberFormat="1" applyFont="1" applyBorder="1"/>
    <xf numFmtId="164" fontId="0" fillId="0" borderId="2" xfId="0" applyNumberFormat="1" applyFont="1" applyBorder="1"/>
    <xf numFmtId="166" fontId="0" fillId="0" borderId="3" xfId="0" applyNumberFormat="1" applyBorder="1"/>
    <xf numFmtId="164" fontId="0" fillId="0" borderId="7" xfId="0" applyNumberFormat="1" applyBorder="1"/>
    <xf numFmtId="0" fontId="15" fillId="0" borderId="0" xfId="0" applyFont="1"/>
    <xf numFmtId="3" fontId="14" fillId="0" borderId="0" xfId="0" applyNumberFormat="1" applyFont="1" applyBorder="1"/>
    <xf numFmtId="0" fontId="14" fillId="0" borderId="0" xfId="0" applyFont="1" applyBorder="1"/>
    <xf numFmtId="3" fontId="14" fillId="0" borderId="1" xfId="0" applyNumberFormat="1" applyFont="1" applyBorder="1"/>
    <xf numFmtId="166" fontId="0" fillId="0" borderId="0" xfId="0" applyNumberFormat="1" applyBorder="1"/>
    <xf numFmtId="0" fontId="11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/>
    <xf numFmtId="0" fontId="0" fillId="0" borderId="0" xfId="0" applyFill="1"/>
    <xf numFmtId="166" fontId="0" fillId="7" borderId="5" xfId="1" applyNumberFormat="1" applyFont="1" applyFill="1" applyBorder="1"/>
    <xf numFmtId="166" fontId="0" fillId="7" borderId="0" xfId="1" applyNumberFormat="1" applyFont="1" applyFill="1"/>
    <xf numFmtId="9" fontId="0" fillId="7" borderId="0" xfId="3" applyFont="1" applyFill="1"/>
    <xf numFmtId="9" fontId="0" fillId="7" borderId="1" xfId="3" applyFont="1" applyFill="1" applyBorder="1"/>
    <xf numFmtId="9" fontId="0" fillId="7" borderId="7" xfId="3" applyFont="1" applyFill="1" applyBorder="1"/>
    <xf numFmtId="9" fontId="14" fillId="7" borderId="0" xfId="3" applyFont="1" applyFill="1"/>
    <xf numFmtId="166" fontId="14" fillId="7" borderId="0" xfId="1" applyNumberFormat="1" applyFont="1" applyFill="1"/>
    <xf numFmtId="166" fontId="14" fillId="7" borderId="1" xfId="1" applyNumberFormat="1" applyFont="1" applyFill="1" applyBorder="1"/>
    <xf numFmtId="9" fontId="14" fillId="7" borderId="1" xfId="3" applyFont="1" applyFill="1" applyBorder="1"/>
    <xf numFmtId="166" fontId="14" fillId="7" borderId="7" xfId="1" applyNumberFormat="1" applyFont="1" applyFill="1" applyBorder="1"/>
    <xf numFmtId="9" fontId="14" fillId="7" borderId="7" xfId="3" applyFont="1" applyFill="1" applyBorder="1"/>
    <xf numFmtId="37" fontId="0" fillId="7" borderId="0" xfId="0" applyNumberFormat="1" applyFill="1"/>
    <xf numFmtId="37" fontId="0" fillId="7" borderId="1" xfId="0" applyNumberFormat="1" applyFill="1" applyBorder="1"/>
    <xf numFmtId="3" fontId="8" fillId="0" borderId="0" xfId="0" applyNumberFormat="1" applyFont="1" applyBorder="1"/>
    <xf numFmtId="43" fontId="0" fillId="0" borderId="0" xfId="0" applyNumberFormat="1"/>
    <xf numFmtId="0" fontId="11" fillId="0" borderId="0" xfId="0" applyFont="1"/>
    <xf numFmtId="164" fontId="0" fillId="0" borderId="0" xfId="0" applyNumberFormat="1" applyFont="1" applyBorder="1"/>
    <xf numFmtId="9" fontId="0" fillId="7" borderId="0" xfId="3" applyFont="1" applyFill="1" applyBorder="1"/>
    <xf numFmtId="3" fontId="0" fillId="0" borderId="0" xfId="0" applyNumberFormat="1" applyFont="1" applyBorder="1"/>
    <xf numFmtId="3" fontId="0" fillId="0" borderId="5" xfId="0" applyNumberFormat="1" applyFont="1" applyBorder="1"/>
    <xf numFmtId="164" fontId="8" fillId="0" borderId="0" xfId="2" applyNumberFormat="1" applyFont="1"/>
    <xf numFmtId="164" fontId="14" fillId="0" borderId="0" xfId="2" applyNumberFormat="1" applyFont="1"/>
    <xf numFmtId="164" fontId="0" fillId="0" borderId="0" xfId="2" applyNumberFormat="1" applyFont="1"/>
    <xf numFmtId="164" fontId="14" fillId="7" borderId="0" xfId="2" applyNumberFormat="1" applyFont="1" applyFill="1"/>
    <xf numFmtId="164" fontId="0" fillId="7" borderId="0" xfId="2" applyNumberFormat="1" applyFont="1" applyFill="1"/>
    <xf numFmtId="164" fontId="0" fillId="0" borderId="6" xfId="2" applyNumberFormat="1" applyFont="1" applyBorder="1"/>
    <xf numFmtId="164" fontId="0" fillId="7" borderId="7" xfId="2" applyNumberFormat="1" applyFont="1" applyFill="1" applyBorder="1"/>
    <xf numFmtId="164" fontId="0" fillId="7" borderId="8" xfId="2" applyNumberFormat="1" applyFont="1" applyFill="1" applyBorder="1"/>
    <xf numFmtId="164" fontId="0" fillId="7" borderId="0" xfId="2" applyNumberFormat="1" applyFont="1" applyFill="1" applyBorder="1"/>
    <xf numFmtId="164" fontId="8" fillId="0" borderId="7" xfId="2" applyNumberFormat="1" applyFont="1" applyBorder="1"/>
    <xf numFmtId="9" fontId="0" fillId="7" borderId="0" xfId="0" applyNumberFormat="1" applyFill="1" applyBorder="1"/>
    <xf numFmtId="9" fontId="0" fillId="7" borderId="5" xfId="0" applyNumberFormat="1" applyFill="1" applyBorder="1"/>
    <xf numFmtId="9" fontId="0" fillId="7" borderId="8" xfId="0" applyNumberFormat="1" applyFill="1" applyBorder="1"/>
    <xf numFmtId="4" fontId="0" fillId="0" borderId="0" xfId="0" applyNumberFormat="1"/>
    <xf numFmtId="2" fontId="0" fillId="0" borderId="0" xfId="0" applyNumberFormat="1" applyFont="1"/>
    <xf numFmtId="166" fontId="0" fillId="0" borderId="0" xfId="1" applyNumberFormat="1" applyFont="1"/>
    <xf numFmtId="166" fontId="0" fillId="0" borderId="0" xfId="1" applyNumberFormat="1" applyFont="1" applyBorder="1"/>
    <xf numFmtId="166" fontId="14" fillId="0" borderId="1" xfId="1" applyNumberFormat="1" applyFont="1" applyBorder="1"/>
    <xf numFmtId="166" fontId="14" fillId="0" borderId="0" xfId="1" applyNumberFormat="1" applyFont="1"/>
    <xf numFmtId="166" fontId="0" fillId="0" borderId="5" xfId="1" applyNumberFormat="1" applyFont="1" applyBorder="1"/>
    <xf numFmtId="166" fontId="12" fillId="0" borderId="0" xfId="1" applyNumberFormat="1" applyFont="1"/>
    <xf numFmtId="43" fontId="14" fillId="0" borderId="0" xfId="0" applyNumberFormat="1" applyFont="1"/>
    <xf numFmtId="43" fontId="0" fillId="0" borderId="0" xfId="0" applyNumberFormat="1" applyFont="1"/>
    <xf numFmtId="43" fontId="0" fillId="7" borderId="0" xfId="1" applyNumberFormat="1" applyFont="1" applyFill="1"/>
    <xf numFmtId="43" fontId="0" fillId="7" borderId="0" xfId="0" applyNumberFormat="1" applyFill="1"/>
    <xf numFmtId="43" fontId="0" fillId="0" borderId="0" xfId="0" applyNumberFormat="1" applyFill="1"/>
    <xf numFmtId="43" fontId="0" fillId="0" borderId="0" xfId="1" applyFont="1"/>
    <xf numFmtId="2" fontId="0" fillId="0" borderId="0" xfId="1" applyNumberFormat="1" applyFont="1"/>
    <xf numFmtId="164" fontId="14" fillId="0" borderId="7" xfId="2" applyNumberFormat="1" applyFont="1" applyBorder="1"/>
    <xf numFmtId="164" fontId="14" fillId="7" borderId="7" xfId="2" applyNumberFormat="1" applyFont="1" applyFill="1" applyBorder="1"/>
    <xf numFmtId="2" fontId="0" fillId="0" borderId="0" xfId="0" applyNumberFormat="1" applyFill="1"/>
    <xf numFmtId="164" fontId="14" fillId="0" borderId="7" xfId="0" applyNumberFormat="1" applyFont="1" applyBorder="1"/>
    <xf numFmtId="164" fontId="14" fillId="0" borderId="7" xfId="1" applyNumberFormat="1" applyFont="1" applyBorder="1"/>
    <xf numFmtId="164" fontId="0" fillId="0" borderId="7" xfId="2" applyNumberFormat="1" applyFont="1" applyBorder="1"/>
    <xf numFmtId="166" fontId="0" fillId="0" borderId="1" xfId="1" applyNumberFormat="1" applyFont="1" applyBorder="1"/>
    <xf numFmtId="0" fontId="15" fillId="0" borderId="0" xfId="0" applyFont="1" applyBorder="1"/>
    <xf numFmtId="166" fontId="14" fillId="7" borderId="0" xfId="1" applyNumberFormat="1" applyFont="1" applyFill="1" applyBorder="1"/>
    <xf numFmtId="9" fontId="14" fillId="7" borderId="0" xfId="3" applyFont="1" applyFill="1" applyBorder="1"/>
    <xf numFmtId="166" fontId="12" fillId="0" borderId="0" xfId="1" applyNumberFormat="1" applyFont="1" applyBorder="1"/>
    <xf numFmtId="9" fontId="0" fillId="7" borderId="0" xfId="3" applyNumberFormat="1" applyFont="1" applyFill="1" applyBorder="1"/>
    <xf numFmtId="1" fontId="8" fillId="0" borderId="0" xfId="0" applyNumberFormat="1" applyFont="1"/>
    <xf numFmtId="0" fontId="4" fillId="6" borderId="0" xfId="8" applyAlignment="1">
      <alignment horizontal="center"/>
    </xf>
    <xf numFmtId="0" fontId="2" fillId="4" borderId="0" xfId="6" applyFont="1" applyAlignment="1">
      <alignment horizontal="center"/>
    </xf>
    <xf numFmtId="0" fontId="2" fillId="6" borderId="0" xfId="8" applyFont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3" fillId="8" borderId="0" xfId="9"/>
    <xf numFmtId="0" fontId="4" fillId="10" borderId="0" xfId="11"/>
    <xf numFmtId="0" fontId="0" fillId="0" borderId="1" xfId="0" applyBorder="1"/>
    <xf numFmtId="0" fontId="0" fillId="0" borderId="7" xfId="0" applyBorder="1"/>
    <xf numFmtId="166" fontId="0" fillId="0" borderId="1" xfId="0" applyNumberFormat="1" applyBorder="1"/>
    <xf numFmtId="0" fontId="3" fillId="8" borderId="0" xfId="9" applyBorder="1" applyAlignment="1">
      <alignment horizontal="center"/>
    </xf>
    <xf numFmtId="164" fontId="4" fillId="10" borderId="0" xfId="11" applyNumberFormat="1"/>
    <xf numFmtId="9" fontId="4" fillId="10" borderId="0" xfId="11" applyNumberFormat="1"/>
    <xf numFmtId="41" fontId="4" fillId="10" borderId="5" xfId="11" applyNumberFormat="1" applyBorder="1"/>
    <xf numFmtId="9" fontId="4" fillId="10" borderId="5" xfId="11" applyNumberFormat="1" applyBorder="1"/>
    <xf numFmtId="41" fontId="4" fillId="10" borderId="0" xfId="11" applyNumberFormat="1"/>
    <xf numFmtId="41" fontId="4" fillId="10" borderId="0" xfId="11" applyNumberFormat="1" applyBorder="1"/>
    <xf numFmtId="9" fontId="4" fillId="10" borderId="0" xfId="11" applyNumberFormat="1" applyBorder="1"/>
    <xf numFmtId="164" fontId="4" fillId="10" borderId="7" xfId="11" applyNumberFormat="1" applyBorder="1"/>
    <xf numFmtId="9" fontId="4" fillId="10" borderId="7" xfId="11" applyNumberFormat="1" applyBorder="1"/>
    <xf numFmtId="1" fontId="4" fillId="10" borderId="0" xfId="11" applyNumberFormat="1"/>
    <xf numFmtId="3" fontId="4" fillId="10" borderId="5" xfId="11" applyNumberFormat="1" applyBorder="1"/>
    <xf numFmtId="3" fontId="4" fillId="10" borderId="0" xfId="11" applyNumberFormat="1"/>
    <xf numFmtId="3" fontId="4" fillId="10" borderId="0" xfId="11" applyNumberFormat="1" applyBorder="1"/>
    <xf numFmtId="44" fontId="4" fillId="10" borderId="7" xfId="11" applyNumberFormat="1" applyBorder="1"/>
    <xf numFmtId="9" fontId="4" fillId="10" borderId="1" xfId="11" applyNumberFormat="1" applyBorder="1"/>
    <xf numFmtId="0" fontId="16" fillId="8" borderId="4" xfId="9" applyFont="1" applyBorder="1" applyAlignment="1">
      <alignment horizontal="center"/>
    </xf>
    <xf numFmtId="0" fontId="16" fillId="8" borderId="4" xfId="9" applyFont="1" applyBorder="1" applyAlignment="1">
      <alignment horizontal="center" vertical="center"/>
    </xf>
    <xf numFmtId="166" fontId="4" fillId="10" borderId="0" xfId="11" applyNumberFormat="1"/>
    <xf numFmtId="166" fontId="4" fillId="10" borderId="1" xfId="11" applyNumberFormat="1" applyBorder="1"/>
    <xf numFmtId="166" fontId="4" fillId="10" borderId="7" xfId="11" applyNumberFormat="1" applyBorder="1"/>
    <xf numFmtId="166" fontId="4" fillId="10" borderId="0" xfId="11" applyNumberFormat="1" applyBorder="1"/>
    <xf numFmtId="166" fontId="4" fillId="10" borderId="9" xfId="11" applyNumberFormat="1" applyBorder="1"/>
    <xf numFmtId="9" fontId="4" fillId="10" borderId="9" xfId="11" applyNumberFormat="1" applyBorder="1"/>
    <xf numFmtId="164" fontId="4" fillId="10" borderId="8" xfId="11" applyNumberFormat="1" applyBorder="1"/>
    <xf numFmtId="9" fontId="4" fillId="10" borderId="8" xfId="11" applyNumberFormat="1" applyBorder="1"/>
    <xf numFmtId="9" fontId="4" fillId="10" borderId="3" xfId="11" applyNumberFormat="1" applyBorder="1"/>
    <xf numFmtId="0" fontId="3" fillId="8" borderId="0" xfId="9" applyBorder="1" applyAlignment="1">
      <alignment horizontal="center" wrapText="1"/>
    </xf>
    <xf numFmtId="44" fontId="4" fillId="10" borderId="0" xfId="11" applyNumberFormat="1"/>
    <xf numFmtId="15" fontId="4" fillId="3" borderId="0" xfId="5" applyNumberFormat="1" applyBorder="1" applyAlignment="1">
      <alignment horizontal="center"/>
    </xf>
    <xf numFmtId="0" fontId="4" fillId="3" borderId="0" xfId="5" applyBorder="1" applyAlignment="1">
      <alignment horizontal="center"/>
    </xf>
    <xf numFmtId="15" fontId="4" fillId="3" borderId="0" xfId="5" applyNumberFormat="1" applyBorder="1" applyAlignment="1">
      <alignment horizontal="center" wrapText="1"/>
    </xf>
    <xf numFmtId="15" fontId="4" fillId="3" borderId="0" xfId="5" applyNumberFormat="1" applyAlignment="1">
      <alignment horizontal="center"/>
    </xf>
    <xf numFmtId="164" fontId="4" fillId="9" borderId="0" xfId="10" applyNumberFormat="1" applyBorder="1"/>
    <xf numFmtId="9" fontId="4" fillId="9" borderId="0" xfId="10" applyNumberFormat="1" applyBorder="1"/>
    <xf numFmtId="166" fontId="4" fillId="9" borderId="5" xfId="10" applyNumberFormat="1" applyBorder="1"/>
    <xf numFmtId="9" fontId="4" fillId="9" borderId="5" xfId="10" applyNumberFormat="1" applyBorder="1"/>
    <xf numFmtId="166" fontId="4" fillId="9" borderId="0" xfId="10" applyNumberFormat="1"/>
    <xf numFmtId="164" fontId="4" fillId="9" borderId="8" xfId="10" applyNumberFormat="1" applyBorder="1"/>
    <xf numFmtId="9" fontId="4" fillId="9" borderId="8" xfId="10" applyNumberFormat="1" applyBorder="1"/>
    <xf numFmtId="43" fontId="4" fillId="9" borderId="0" xfId="10" applyNumberFormat="1"/>
    <xf numFmtId="15" fontId="4" fillId="9" borderId="4" xfId="10" applyNumberFormat="1" applyBorder="1" applyAlignment="1">
      <alignment horizontal="center"/>
    </xf>
    <xf numFmtId="0" fontId="0" fillId="12" borderId="0" xfId="0" applyFill="1"/>
    <xf numFmtId="166" fontId="0" fillId="12" borderId="0" xfId="0" applyNumberFormat="1" applyFill="1"/>
    <xf numFmtId="0" fontId="2" fillId="11" borderId="0" xfId="12" applyFont="1"/>
    <xf numFmtId="9" fontId="0" fillId="0" borderId="0" xfId="0" applyNumberFormat="1"/>
    <xf numFmtId="166" fontId="0" fillId="0" borderId="10" xfId="0" applyNumberFormat="1" applyBorder="1"/>
    <xf numFmtId="166" fontId="0" fillId="0" borderId="8" xfId="0" applyNumberFormat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/>
    <xf numFmtId="166" fontId="0" fillId="8" borderId="0" xfId="9" applyNumberFormat="1" applyFont="1"/>
    <xf numFmtId="0" fontId="0" fillId="10" borderId="0" xfId="11" applyFont="1"/>
    <xf numFmtId="0" fontId="0" fillId="0" borderId="1" xfId="0" applyFont="1" applyBorder="1"/>
    <xf numFmtId="0" fontId="0" fillId="0" borderId="7" xfId="0" applyFont="1" applyBorder="1"/>
    <xf numFmtId="164" fontId="0" fillId="0" borderId="0" xfId="0" applyNumberFormat="1" applyFont="1"/>
    <xf numFmtId="166" fontId="0" fillId="8" borderId="1" xfId="9" applyNumberFormat="1" applyFont="1" applyBorder="1"/>
    <xf numFmtId="166" fontId="0" fillId="8" borderId="7" xfId="9" applyNumberFormat="1" applyFont="1" applyBorder="1"/>
    <xf numFmtId="167" fontId="8" fillId="0" borderId="0" xfId="0" applyNumberFormat="1" applyFont="1"/>
    <xf numFmtId="166" fontId="0" fillId="0" borderId="7" xfId="0" applyNumberFormat="1" applyBorder="1"/>
    <xf numFmtId="0" fontId="18" fillId="0" borderId="0" xfId="0" applyFont="1"/>
    <xf numFmtId="164" fontId="0" fillId="8" borderId="0" xfId="2" applyNumberFormat="1" applyFont="1" applyFill="1"/>
    <xf numFmtId="164" fontId="0" fillId="10" borderId="0" xfId="2" applyNumberFormat="1" applyFont="1" applyFill="1"/>
    <xf numFmtId="164" fontId="0" fillId="8" borderId="7" xfId="2" applyNumberFormat="1" applyFont="1" applyFill="1" applyBorder="1"/>
    <xf numFmtId="164" fontId="0" fillId="10" borderId="7" xfId="2" applyNumberFormat="1" applyFont="1" applyFill="1" applyBorder="1"/>
    <xf numFmtId="168" fontId="0" fillId="0" borderId="0" xfId="0" applyNumberFormat="1"/>
    <xf numFmtId="0" fontId="17" fillId="0" borderId="0" xfId="13"/>
    <xf numFmtId="169" fontId="0" fillId="0" borderId="0" xfId="0" applyNumberFormat="1"/>
    <xf numFmtId="164" fontId="2" fillId="8" borderId="0" xfId="2" applyNumberFormat="1" applyFont="1" applyFill="1"/>
    <xf numFmtId="166" fontId="2" fillId="8" borderId="0" xfId="1" applyNumberFormat="1" applyFont="1" applyFill="1"/>
    <xf numFmtId="166" fontId="2" fillId="8" borderId="1" xfId="1" applyNumberFormat="1" applyFont="1" applyFill="1" applyBorder="1"/>
    <xf numFmtId="164" fontId="2" fillId="8" borderId="7" xfId="2" applyNumberFormat="1" applyFont="1" applyFill="1" applyBorder="1"/>
    <xf numFmtId="10" fontId="0" fillId="0" borderId="0" xfId="0" applyNumberFormat="1" applyFill="1"/>
    <xf numFmtId="4" fontId="0" fillId="0" borderId="10" xfId="0" applyNumberFormat="1" applyBorder="1"/>
    <xf numFmtId="4" fontId="0" fillId="0" borderId="8" xfId="0" applyNumberFormat="1" applyBorder="1"/>
    <xf numFmtId="43" fontId="0" fillId="0" borderId="10" xfId="0" applyNumberFormat="1" applyBorder="1"/>
    <xf numFmtId="43" fontId="0" fillId="0" borderId="8" xfId="0" applyNumberFormat="1" applyBorder="1"/>
    <xf numFmtId="44" fontId="0" fillId="0" borderId="0" xfId="0" applyNumberFormat="1"/>
    <xf numFmtId="10" fontId="0" fillId="0" borderId="1" xfId="0" applyNumberFormat="1" applyFill="1" applyBorder="1"/>
    <xf numFmtId="10" fontId="0" fillId="0" borderId="7" xfId="0" applyNumberFormat="1" applyFill="1" applyBorder="1"/>
    <xf numFmtId="10" fontId="8" fillId="0" borderId="0" xfId="2" applyNumberFormat="1" applyFont="1" applyAlignment="1">
      <alignment horizontal="center"/>
    </xf>
    <xf numFmtId="10" fontId="8" fillId="0" borderId="0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0" borderId="7" xfId="0" applyNumberFormat="1" applyFont="1" applyBorder="1" applyAlignment="1">
      <alignment horizontal="center"/>
    </xf>
    <xf numFmtId="166" fontId="4" fillId="10" borderId="0" xfId="11" applyNumberFormat="1" applyAlignment="1">
      <alignment horizontal="center"/>
    </xf>
    <xf numFmtId="164" fontId="0" fillId="0" borderId="0" xfId="0" applyNumberFormat="1" applyFill="1"/>
    <xf numFmtId="166" fontId="0" fillId="0" borderId="0" xfId="0" applyNumberFormat="1" applyFill="1"/>
    <xf numFmtId="166" fontId="0" fillId="10" borderId="0" xfId="11" applyNumberFormat="1" applyFont="1"/>
    <xf numFmtId="166" fontId="0" fillId="10" borderId="1" xfId="11" applyNumberFormat="1" applyFont="1" applyBorder="1"/>
    <xf numFmtId="164" fontId="0" fillId="10" borderId="7" xfId="11" applyNumberFormat="1" applyFont="1" applyBorder="1"/>
    <xf numFmtId="166" fontId="0" fillId="10" borderId="7" xfId="11" applyNumberFormat="1" applyFont="1" applyBorder="1"/>
    <xf numFmtId="166" fontId="0" fillId="10" borderId="5" xfId="11" applyNumberFormat="1" applyFont="1" applyBorder="1"/>
    <xf numFmtId="164" fontId="0" fillId="10" borderId="0" xfId="11" applyNumberFormat="1" applyFont="1"/>
    <xf numFmtId="166" fontId="8" fillId="0" borderId="1" xfId="0" applyNumberFormat="1" applyFont="1" applyBorder="1"/>
    <xf numFmtId="44" fontId="0" fillId="0" borderId="7" xfId="0" applyNumberFormat="1" applyBorder="1"/>
    <xf numFmtId="0" fontId="3" fillId="8" borderId="0" xfId="9" applyAlignment="1">
      <alignment horizontal="center" wrapText="1"/>
    </xf>
    <xf numFmtId="0" fontId="3" fillId="8" borderId="0" xfId="9" applyAlignment="1">
      <alignment horizontal="center"/>
    </xf>
    <xf numFmtId="0" fontId="10" fillId="2" borderId="0" xfId="4" applyFont="1" applyAlignment="1">
      <alignment horizontal="center"/>
    </xf>
    <xf numFmtId="0" fontId="10" fillId="5" borderId="0" xfId="7" applyFont="1" applyAlignment="1">
      <alignment horizontal="center"/>
    </xf>
    <xf numFmtId="0" fontId="6" fillId="5" borderId="0" xfId="7" applyAlignment="1">
      <alignment horizontal="center"/>
    </xf>
    <xf numFmtId="0" fontId="5" fillId="0" borderId="0" xfId="0" applyFont="1" applyBorder="1" applyAlignment="1">
      <alignment horizontal="center"/>
    </xf>
    <xf numFmtId="0" fontId="4" fillId="10" borderId="0" xfId="11" applyAlignment="1">
      <alignment horizontal="center"/>
    </xf>
    <xf numFmtId="0" fontId="0" fillId="10" borderId="0" xfId="11" applyFont="1" applyAlignment="1">
      <alignment horizontal="center"/>
    </xf>
    <xf numFmtId="0" fontId="4" fillId="3" borderId="0" xfId="5" applyAlignment="1">
      <alignment horizontal="center"/>
    </xf>
    <xf numFmtId="166" fontId="3" fillId="8" borderId="0" xfId="9" applyNumberFormat="1"/>
    <xf numFmtId="0" fontId="0" fillId="13" borderId="0" xfId="0" applyFont="1" applyFill="1"/>
    <xf numFmtId="166" fontId="3" fillId="8" borderId="1" xfId="9" applyNumberFormat="1" applyBorder="1"/>
    <xf numFmtId="164" fontId="3" fillId="8" borderId="0" xfId="9" applyNumberFormat="1"/>
    <xf numFmtId="164" fontId="2" fillId="8" borderId="7" xfId="9" applyNumberFormat="1" applyFont="1" applyBorder="1"/>
  </cellXfs>
  <cellStyles count="14">
    <cellStyle name="20% - Accent1" xfId="10" builtinId="30"/>
    <cellStyle name="20% - Accent2" xfId="11" builtinId="34"/>
    <cellStyle name="40% - Accent1" xfId="5" builtinId="31"/>
    <cellStyle name="40% - Accent2" xfId="9" builtinId="35"/>
    <cellStyle name="40% - Accent6" xfId="12" builtinId="51"/>
    <cellStyle name="60% - Accent1" xfId="6" builtinId="32"/>
    <cellStyle name="60% - Accent2" xfId="8" builtinId="36"/>
    <cellStyle name="Accent1" xfId="4" builtinId="29"/>
    <cellStyle name="Accent2" xfId="7" builtinId="33"/>
    <cellStyle name="Comma" xfId="1" builtinId="3"/>
    <cellStyle name="Currency" xfId="2" builtinId="4"/>
    <cellStyle name="Hyperlink" xfId="13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5EAA1-783B-43D5-B33D-D55B25D45F27}">
  <dimension ref="A1:L28"/>
  <sheetViews>
    <sheetView workbookViewId="0">
      <selection activeCell="B21" sqref="B21"/>
    </sheetView>
  </sheetViews>
  <sheetFormatPr defaultColWidth="11" defaultRowHeight="15.95"/>
  <cols>
    <col min="1" max="1" width="45.875" bestFit="1" customWidth="1"/>
    <col min="2" max="2" width="24.125" customWidth="1"/>
    <col min="3" max="3" width="20.5" customWidth="1"/>
    <col min="4" max="4" width="28" bestFit="1" customWidth="1"/>
    <col min="5" max="5" width="27.875" bestFit="1" customWidth="1"/>
    <col min="6" max="6" width="25" customWidth="1"/>
    <col min="7" max="7" width="27.875" bestFit="1" customWidth="1"/>
    <col min="8" max="8" width="23.375" bestFit="1" customWidth="1"/>
    <col min="9" max="9" width="21.625" customWidth="1"/>
    <col min="10" max="10" width="14.5" customWidth="1"/>
    <col min="11" max="11" width="15.125" customWidth="1"/>
  </cols>
  <sheetData>
    <row r="1" spans="1:12">
      <c r="A1" s="218" t="s">
        <v>0</v>
      </c>
      <c r="B1" s="218"/>
      <c r="C1" s="218"/>
      <c r="D1" s="218"/>
      <c r="E1" s="218"/>
      <c r="F1" s="218"/>
      <c r="G1" s="218"/>
      <c r="H1" s="218"/>
    </row>
    <row r="2" spans="1:12">
      <c r="A2" s="219" t="s">
        <v>1</v>
      </c>
      <c r="B2" s="219"/>
      <c r="C2" s="219"/>
      <c r="D2" s="219"/>
      <c r="E2" s="219"/>
      <c r="F2" s="219"/>
      <c r="G2" s="219"/>
      <c r="H2" s="219"/>
    </row>
    <row r="3" spans="1:12">
      <c r="A3" s="219" t="s">
        <v>2</v>
      </c>
      <c r="B3" s="219"/>
      <c r="C3" s="219"/>
      <c r="D3" s="219"/>
      <c r="E3" s="219"/>
      <c r="F3" s="219"/>
      <c r="G3" s="219"/>
      <c r="H3" s="219"/>
    </row>
    <row r="4" spans="1:12">
      <c r="A4" s="219" t="s">
        <v>3</v>
      </c>
      <c r="B4" s="219"/>
      <c r="C4" s="219"/>
      <c r="D4" s="219"/>
      <c r="E4" s="219"/>
      <c r="F4" s="219"/>
      <c r="G4" s="219"/>
      <c r="H4" s="219"/>
      <c r="I4" s="219" t="s">
        <v>4</v>
      </c>
      <c r="J4" s="219"/>
      <c r="K4" s="219"/>
    </row>
    <row r="6" spans="1:12">
      <c r="A6" s="5"/>
      <c r="B6" s="138" t="s">
        <v>5</v>
      </c>
      <c r="C6" s="138" t="s">
        <v>6</v>
      </c>
      <c r="D6" s="138" t="s">
        <v>7</v>
      </c>
      <c r="E6" s="138" t="s">
        <v>8</v>
      </c>
      <c r="F6" s="138" t="s">
        <v>6</v>
      </c>
      <c r="G6" s="138" t="s">
        <v>7</v>
      </c>
      <c r="H6" s="138" t="s">
        <v>9</v>
      </c>
      <c r="I6" s="138" t="s">
        <v>5</v>
      </c>
      <c r="J6" s="138" t="s">
        <v>8</v>
      </c>
      <c r="K6" s="138" t="s">
        <v>9</v>
      </c>
    </row>
    <row r="7" spans="1:12">
      <c r="A7" t="s">
        <v>10</v>
      </c>
      <c r="B7" s="10"/>
      <c r="E7" s="10"/>
      <c r="H7" s="10"/>
    </row>
    <row r="8" spans="1:12">
      <c r="A8" t="s">
        <v>11</v>
      </c>
      <c r="B8" s="71">
        <v>110225</v>
      </c>
      <c r="C8" s="123">
        <f>B8-E8</f>
        <v>2022</v>
      </c>
      <c r="D8" s="124">
        <f>C8/E8</f>
        <v>1.8687097400256925E-2</v>
      </c>
      <c r="E8" s="71">
        <v>108203</v>
      </c>
      <c r="F8" s="123">
        <f>E8-H8</f>
        <v>7299</v>
      </c>
      <c r="G8" s="124">
        <f>F8/H8</f>
        <v>7.2336081820344095E-2</v>
      </c>
      <c r="H8" s="71">
        <v>100904</v>
      </c>
      <c r="I8" s="124">
        <f>B8/$B$8</f>
        <v>1</v>
      </c>
      <c r="J8" s="124">
        <f>E8/$E$8</f>
        <v>1</v>
      </c>
      <c r="K8" s="124">
        <f>H8/$H$8</f>
        <v>1</v>
      </c>
      <c r="L8" t="s">
        <v>12</v>
      </c>
    </row>
    <row r="9" spans="1:12">
      <c r="A9" t="s">
        <v>13</v>
      </c>
      <c r="B9" s="22">
        <v>72653</v>
      </c>
      <c r="C9" s="125">
        <f>B9-E9</f>
        <v>1610</v>
      </c>
      <c r="D9" s="126">
        <f>C9/E9</f>
        <v>2.2662331264163955E-2</v>
      </c>
      <c r="E9" s="22">
        <v>71043</v>
      </c>
      <c r="F9" s="133">
        <f>E9-H9</f>
        <v>4495</v>
      </c>
      <c r="G9" s="126">
        <f t="shared" ref="G9:G28" si="0">F9/H9</f>
        <v>6.7545230510308349E-2</v>
      </c>
      <c r="H9" s="22">
        <v>66548</v>
      </c>
      <c r="I9" s="124">
        <f t="shared" ref="I9:I28" si="1">B9/$B$8</f>
        <v>0.65913359038330688</v>
      </c>
      <c r="J9" s="124">
        <f t="shared" ref="J9:J28" si="2">E9/$E$8</f>
        <v>0.65657144441466497</v>
      </c>
      <c r="K9" s="124">
        <f t="shared" ref="K9:K28" si="3">H9/$H$8</f>
        <v>0.65951795766272892</v>
      </c>
    </row>
    <row r="10" spans="1:12">
      <c r="A10" t="s">
        <v>14</v>
      </c>
      <c r="B10" s="11">
        <f>B8-B9</f>
        <v>37572</v>
      </c>
      <c r="C10" s="127">
        <f>B10-E10</f>
        <v>412</v>
      </c>
      <c r="D10" s="124">
        <f t="shared" ref="D10:D28" si="4">C10/E10</f>
        <v>1.108719052744887E-2</v>
      </c>
      <c r="E10" s="11">
        <f>E8-E9</f>
        <v>37160</v>
      </c>
      <c r="F10" s="134">
        <f t="shared" ref="F10:F28" si="5">E10-H10</f>
        <v>2804</v>
      </c>
      <c r="G10" s="124">
        <f t="shared" si="0"/>
        <v>8.1616020491326116E-2</v>
      </c>
      <c r="H10" s="11">
        <f>H8-H9</f>
        <v>34356</v>
      </c>
      <c r="I10" s="137">
        <f t="shared" si="1"/>
        <v>0.34086640961669312</v>
      </c>
      <c r="J10" s="137">
        <f t="shared" si="2"/>
        <v>0.34342855558533497</v>
      </c>
      <c r="K10" s="137">
        <f t="shared" si="3"/>
        <v>0.34048204233727108</v>
      </c>
    </row>
    <row r="11" spans="1:12">
      <c r="A11" t="s">
        <v>15</v>
      </c>
      <c r="B11" s="10"/>
      <c r="C11" s="127"/>
      <c r="D11" s="124"/>
      <c r="E11" s="10"/>
      <c r="F11" s="134">
        <f t="shared" si="5"/>
        <v>0</v>
      </c>
      <c r="G11" s="124"/>
      <c r="H11" s="10"/>
      <c r="I11" s="124"/>
      <c r="J11" s="124"/>
      <c r="K11" s="124"/>
    </row>
    <row r="12" spans="1:12">
      <c r="A12" t="s">
        <v>16</v>
      </c>
      <c r="B12" s="11">
        <v>19740</v>
      </c>
      <c r="C12" s="127">
        <f t="shared" ref="C12:C27" si="6">B12-E12</f>
        <v>227</v>
      </c>
      <c r="D12" s="124">
        <f t="shared" si="4"/>
        <v>1.1633270127607237E-2</v>
      </c>
      <c r="E12" s="11">
        <v>19513</v>
      </c>
      <c r="F12" s="134">
        <f t="shared" si="5"/>
        <v>1649</v>
      </c>
      <c r="G12" s="124">
        <f t="shared" si="0"/>
        <v>9.2308553515450073E-2</v>
      </c>
      <c r="H12" s="11">
        <v>17864</v>
      </c>
      <c r="I12" s="124">
        <f t="shared" si="1"/>
        <v>0.17908822862327059</v>
      </c>
      <c r="J12" s="124">
        <f t="shared" si="2"/>
        <v>0.18033695923403234</v>
      </c>
      <c r="K12" s="124">
        <f t="shared" si="3"/>
        <v>0.17703956235629906</v>
      </c>
    </row>
    <row r="13" spans="1:12">
      <c r="A13" t="s">
        <v>17</v>
      </c>
      <c r="B13" s="11">
        <v>1989</v>
      </c>
      <c r="C13" s="127">
        <f t="shared" si="6"/>
        <v>119</v>
      </c>
      <c r="D13" s="124">
        <f t="shared" si="4"/>
        <v>6.363636363636363E-2</v>
      </c>
      <c r="E13" s="11">
        <v>1870</v>
      </c>
      <c r="F13" s="134">
        <f t="shared" si="5"/>
        <v>59</v>
      </c>
      <c r="G13" s="124">
        <f t="shared" si="0"/>
        <v>3.2578685808945337E-2</v>
      </c>
      <c r="H13" s="11">
        <v>1811</v>
      </c>
      <c r="I13" s="124">
        <f t="shared" si="1"/>
        <v>1.8044908142435926E-2</v>
      </c>
      <c r="J13" s="124">
        <f t="shared" si="2"/>
        <v>1.7282330434461153E-2</v>
      </c>
      <c r="K13" s="124">
        <f t="shared" si="3"/>
        <v>1.7947752319035917E-2</v>
      </c>
    </row>
    <row r="14" spans="1:12">
      <c r="A14" t="s">
        <v>18</v>
      </c>
      <c r="B14" s="65">
        <v>0</v>
      </c>
      <c r="C14" s="127">
        <f t="shared" si="6"/>
        <v>-247</v>
      </c>
      <c r="D14" s="124">
        <f t="shared" si="4"/>
        <v>-1</v>
      </c>
      <c r="E14" s="10">
        <v>247</v>
      </c>
      <c r="F14" s="134">
        <f t="shared" si="5"/>
        <v>247</v>
      </c>
      <c r="G14" s="124"/>
      <c r="H14" s="65">
        <v>0</v>
      </c>
      <c r="I14" s="124"/>
      <c r="J14" s="124">
        <f t="shared" si="2"/>
        <v>2.2827463194181308E-3</v>
      </c>
      <c r="K14" s="124"/>
    </row>
    <row r="15" spans="1:12">
      <c r="A15" t="s">
        <v>19</v>
      </c>
      <c r="B15" s="22">
        <v>21729</v>
      </c>
      <c r="C15" s="125">
        <f t="shared" si="6"/>
        <v>99</v>
      </c>
      <c r="D15" s="126">
        <f t="shared" si="4"/>
        <v>4.5769764216366162E-3</v>
      </c>
      <c r="E15" s="22">
        <v>21630</v>
      </c>
      <c r="F15" s="133">
        <f t="shared" si="5"/>
        <v>1955</v>
      </c>
      <c r="G15" s="126">
        <f t="shared" si="0"/>
        <v>9.9364675984752224E-2</v>
      </c>
      <c r="H15" s="22">
        <v>19675</v>
      </c>
      <c r="I15" s="124">
        <f t="shared" si="1"/>
        <v>0.19713313676570651</v>
      </c>
      <c r="J15" s="124">
        <f t="shared" si="2"/>
        <v>0.19990203598791162</v>
      </c>
      <c r="K15" s="124">
        <f t="shared" si="3"/>
        <v>0.19498731467533498</v>
      </c>
    </row>
    <row r="16" spans="1:12">
      <c r="A16" t="s">
        <v>20</v>
      </c>
      <c r="B16" s="11">
        <f>B10-B15</f>
        <v>15843</v>
      </c>
      <c r="C16" s="127">
        <f t="shared" si="6"/>
        <v>313</v>
      </c>
      <c r="D16" s="124">
        <f t="shared" si="4"/>
        <v>2.0154539600772698E-2</v>
      </c>
      <c r="E16" s="11">
        <f>E10-E15</f>
        <v>15530</v>
      </c>
      <c r="F16" s="134">
        <f t="shared" si="5"/>
        <v>849</v>
      </c>
      <c r="G16" s="124">
        <f t="shared" si="0"/>
        <v>5.7829848102990258E-2</v>
      </c>
      <c r="H16" s="11">
        <f>H10-H15</f>
        <v>14681</v>
      </c>
      <c r="I16" s="137">
        <f t="shared" si="1"/>
        <v>0.14373327285098661</v>
      </c>
      <c r="J16" s="137">
        <f t="shared" si="2"/>
        <v>0.14352651959742335</v>
      </c>
      <c r="K16" s="137">
        <f t="shared" si="3"/>
        <v>0.14549472766193611</v>
      </c>
    </row>
    <row r="17" spans="1:11">
      <c r="A17" t="s">
        <v>21</v>
      </c>
      <c r="B17" s="10"/>
      <c r="C17" s="127"/>
      <c r="D17" s="124"/>
      <c r="E17" s="10"/>
      <c r="F17" s="134"/>
      <c r="G17" s="124"/>
      <c r="H17" s="10"/>
      <c r="I17" s="124"/>
      <c r="J17" s="124"/>
      <c r="K17" s="124"/>
    </row>
    <row r="18" spans="1:11">
      <c r="A18" t="s">
        <v>22</v>
      </c>
      <c r="B18" s="10">
        <v>-73</v>
      </c>
      <c r="C18" s="127">
        <f t="shared" si="6"/>
        <v>20</v>
      </c>
      <c r="D18" s="124">
        <f t="shared" si="4"/>
        <v>-0.21505376344086022</v>
      </c>
      <c r="E18" s="10">
        <v>-93</v>
      </c>
      <c r="F18" s="134">
        <f t="shared" si="5"/>
        <v>-19</v>
      </c>
      <c r="G18" s="124">
        <f t="shared" si="0"/>
        <v>0.25675675675675674</v>
      </c>
      <c r="H18" s="10">
        <v>-74</v>
      </c>
      <c r="I18" s="124">
        <f t="shared" si="1"/>
        <v>-6.6228169652982538E-4</v>
      </c>
      <c r="J18" s="124">
        <f t="shared" si="2"/>
        <v>-8.5949557775662417E-4</v>
      </c>
      <c r="K18" s="124">
        <f t="shared" si="3"/>
        <v>-7.3337033219693967E-4</v>
      </c>
    </row>
    <row r="19" spans="1:11">
      <c r="A19" t="s">
        <v>23</v>
      </c>
      <c r="B19" s="11">
        <v>1201</v>
      </c>
      <c r="C19" s="127">
        <f t="shared" si="6"/>
        <v>150</v>
      </c>
      <c r="D19" s="124">
        <f t="shared" si="4"/>
        <v>0.14272121788772599</v>
      </c>
      <c r="E19" s="11">
        <v>1051</v>
      </c>
      <c r="F19" s="134">
        <f t="shared" si="5"/>
        <v>-6</v>
      </c>
      <c r="G19" s="124">
        <f t="shared" si="0"/>
        <v>-5.6764427625354778E-3</v>
      </c>
      <c r="H19" s="11">
        <v>1057</v>
      </c>
      <c r="I19" s="124">
        <f t="shared" si="1"/>
        <v>1.0895894760716715E-2</v>
      </c>
      <c r="J19" s="124">
        <f t="shared" si="2"/>
        <v>9.7132242174431394E-3</v>
      </c>
      <c r="K19" s="124">
        <f t="shared" si="3"/>
        <v>1.0475303258542774E-2</v>
      </c>
    </row>
    <row r="20" spans="1:11">
      <c r="A20" t="s">
        <v>24</v>
      </c>
      <c r="B20" s="65">
        <v>0</v>
      </c>
      <c r="C20" s="127">
        <f t="shared" si="6"/>
        <v>-16</v>
      </c>
      <c r="D20" s="124">
        <f t="shared" si="4"/>
        <v>-1</v>
      </c>
      <c r="E20" s="10">
        <v>16</v>
      </c>
      <c r="F20" s="134">
        <f t="shared" si="5"/>
        <v>16</v>
      </c>
      <c r="G20" s="124"/>
      <c r="H20" s="65">
        <v>0</v>
      </c>
      <c r="I20" s="124"/>
      <c r="J20" s="124">
        <f t="shared" si="2"/>
        <v>1.4787020692587081E-4</v>
      </c>
      <c r="K20" s="124"/>
    </row>
    <row r="21" spans="1:11">
      <c r="A21" t="s">
        <v>25</v>
      </c>
      <c r="B21" s="11">
        <v>1128</v>
      </c>
      <c r="C21" s="127">
        <f t="shared" si="6"/>
        <v>154</v>
      </c>
      <c r="D21" s="124">
        <f t="shared" si="4"/>
        <v>0.15811088295687886</v>
      </c>
      <c r="E21" s="10">
        <v>974</v>
      </c>
      <c r="F21" s="134">
        <f t="shared" si="5"/>
        <v>-9</v>
      </c>
      <c r="G21" s="124">
        <f t="shared" si="0"/>
        <v>-9.1556459816887082E-3</v>
      </c>
      <c r="H21" s="10">
        <v>983</v>
      </c>
      <c r="I21" s="124">
        <f t="shared" si="1"/>
        <v>1.0233613064186891E-2</v>
      </c>
      <c r="J21" s="124">
        <f t="shared" si="2"/>
        <v>9.0015988466123856E-3</v>
      </c>
      <c r="K21" s="124">
        <f t="shared" si="3"/>
        <v>9.7419329263458334E-3</v>
      </c>
    </row>
    <row r="22" spans="1:11">
      <c r="A22" t="s">
        <v>26</v>
      </c>
      <c r="B22" s="11">
        <v>14715</v>
      </c>
      <c r="C22" s="127">
        <f t="shared" si="6"/>
        <v>159</v>
      </c>
      <c r="D22" s="124">
        <f t="shared" si="4"/>
        <v>1.0923330585325639E-2</v>
      </c>
      <c r="E22" s="11">
        <v>14556</v>
      </c>
      <c r="F22" s="134">
        <f t="shared" si="5"/>
        <v>858</v>
      </c>
      <c r="G22" s="124">
        <f t="shared" si="0"/>
        <v>6.2636881296539645E-2</v>
      </c>
      <c r="H22" s="11">
        <v>13698</v>
      </c>
      <c r="I22" s="124">
        <f t="shared" si="1"/>
        <v>0.13349965978679973</v>
      </c>
      <c r="J22" s="124">
        <f t="shared" si="2"/>
        <v>0.13452492075081099</v>
      </c>
      <c r="K22" s="124">
        <f t="shared" si="3"/>
        <v>0.13575279473559027</v>
      </c>
    </row>
    <row r="23" spans="1:11">
      <c r="A23" t="s">
        <v>27</v>
      </c>
      <c r="B23" s="64">
        <v>3473</v>
      </c>
      <c r="C23" s="128">
        <f t="shared" si="6"/>
        <v>38</v>
      </c>
      <c r="D23" s="129">
        <f t="shared" si="4"/>
        <v>1.106259097525473E-2</v>
      </c>
      <c r="E23" s="64">
        <v>3435</v>
      </c>
      <c r="F23" s="135">
        <f t="shared" si="5"/>
        <v>-1633</v>
      </c>
      <c r="G23" s="129">
        <f t="shared" si="0"/>
        <v>-0.32221783741120757</v>
      </c>
      <c r="H23" s="64">
        <v>5068</v>
      </c>
      <c r="I23" s="124">
        <f t="shared" si="1"/>
        <v>3.150827852120662E-2</v>
      </c>
      <c r="J23" s="124">
        <f t="shared" si="2"/>
        <v>3.174588504939789E-2</v>
      </c>
      <c r="K23" s="124">
        <f t="shared" si="3"/>
        <v>5.0225957345595811E-2</v>
      </c>
    </row>
    <row r="24" spans="1:11" ht="17.100000000000001" thickBot="1">
      <c r="A24" t="s">
        <v>28</v>
      </c>
      <c r="B24" s="80">
        <f>B22-B23</f>
        <v>11242</v>
      </c>
      <c r="C24" s="130">
        <f t="shared" si="6"/>
        <v>121</v>
      </c>
      <c r="D24" s="131">
        <f t="shared" si="4"/>
        <v>1.0880316518298714E-2</v>
      </c>
      <c r="E24" s="80">
        <f>E22-E23</f>
        <v>11121</v>
      </c>
      <c r="F24" s="136">
        <f t="shared" si="5"/>
        <v>2491</v>
      </c>
      <c r="G24" s="131">
        <f t="shared" si="0"/>
        <v>0.28864426419466976</v>
      </c>
      <c r="H24" s="80">
        <f>H22-H23</f>
        <v>8630</v>
      </c>
      <c r="I24" s="131">
        <f t="shared" si="1"/>
        <v>0.10199138126559311</v>
      </c>
      <c r="J24" s="131">
        <f t="shared" si="2"/>
        <v>0.10277903570141309</v>
      </c>
      <c r="K24" s="131">
        <f t="shared" si="3"/>
        <v>8.5526837389994448E-2</v>
      </c>
    </row>
    <row r="25" spans="1:11" ht="17.100000000000001" thickTop="1">
      <c r="A25" s="10" t="s">
        <v>29</v>
      </c>
      <c r="B25" s="11">
        <v>1093</v>
      </c>
      <c r="C25" s="127">
        <f t="shared" si="6"/>
        <v>-44</v>
      </c>
      <c r="D25" s="124">
        <f t="shared" si="4"/>
        <v>-3.8698328935795952E-2</v>
      </c>
      <c r="E25" s="11">
        <v>1137</v>
      </c>
      <c r="F25" s="134">
        <f t="shared" si="5"/>
        <v>-41</v>
      </c>
      <c r="G25" s="124">
        <f t="shared" si="0"/>
        <v>-3.4804753820033958E-2</v>
      </c>
      <c r="H25" s="11">
        <v>1178</v>
      </c>
      <c r="I25" s="124">
        <f t="shared" si="1"/>
        <v>9.916080743932864E-3</v>
      </c>
      <c r="J25" s="124">
        <f t="shared" si="2"/>
        <v>1.0508026579669694E-2</v>
      </c>
      <c r="K25" s="124">
        <f t="shared" si="3"/>
        <v>1.1674462855783715E-2</v>
      </c>
    </row>
    <row r="26" spans="1:11">
      <c r="A26" s="10" t="s">
        <v>30</v>
      </c>
      <c r="B26" s="11">
        <v>10.29</v>
      </c>
      <c r="C26" s="127">
        <f t="shared" si="6"/>
        <v>0.50999999999999979</v>
      </c>
      <c r="D26" s="124">
        <f t="shared" si="4"/>
        <v>5.2147239263803664E-2</v>
      </c>
      <c r="E26" s="12">
        <v>9.7799999999999994</v>
      </c>
      <c r="F26" s="134">
        <f t="shared" si="5"/>
        <v>2.4499999999999993</v>
      </c>
      <c r="G26" s="124">
        <f t="shared" si="0"/>
        <v>0.33424283765347873</v>
      </c>
      <c r="H26" s="12">
        <v>7.33</v>
      </c>
      <c r="I26" s="124">
        <f t="shared" si="1"/>
        <v>9.3354502154683599E-5</v>
      </c>
      <c r="J26" s="124">
        <f t="shared" si="2"/>
        <v>9.0385663983438526E-5</v>
      </c>
      <c r="K26" s="124">
        <f t="shared" si="3"/>
        <v>7.2643304527075244E-5</v>
      </c>
    </row>
    <row r="27" spans="1:11">
      <c r="A27" s="10" t="s">
        <v>31</v>
      </c>
      <c r="B27" s="11">
        <v>1097</v>
      </c>
      <c r="C27" s="127">
        <f t="shared" si="6"/>
        <v>-46</v>
      </c>
      <c r="D27" s="124">
        <f t="shared" si="4"/>
        <v>-4.0244969378827648E-2</v>
      </c>
      <c r="E27" s="11">
        <v>1143</v>
      </c>
      <c r="F27" s="134">
        <f t="shared" si="5"/>
        <v>-41</v>
      </c>
      <c r="G27" s="124">
        <f t="shared" si="0"/>
        <v>-3.4628378378378379E-2</v>
      </c>
      <c r="H27" s="11">
        <v>1184</v>
      </c>
      <c r="I27" s="124">
        <f t="shared" si="1"/>
        <v>9.9523701519618965E-3</v>
      </c>
      <c r="J27" s="124">
        <f t="shared" si="2"/>
        <v>1.0563477907266897E-2</v>
      </c>
      <c r="K27" s="124">
        <f t="shared" si="3"/>
        <v>1.1733925315151035E-2</v>
      </c>
    </row>
    <row r="28" spans="1:11">
      <c r="A28" s="10" t="s">
        <v>32</v>
      </c>
      <c r="B28" s="111">
        <v>10.25</v>
      </c>
      <c r="C28" s="132">
        <f>B28-E28</f>
        <v>0.51999999999999957</v>
      </c>
      <c r="D28" s="124">
        <f t="shared" si="4"/>
        <v>5.3442959917780017E-2</v>
      </c>
      <c r="E28" s="111">
        <v>9.73</v>
      </c>
      <c r="F28" s="132">
        <f t="shared" si="5"/>
        <v>2.4400000000000004</v>
      </c>
      <c r="G28" s="124">
        <f t="shared" si="0"/>
        <v>0.33470507544581624</v>
      </c>
      <c r="H28" s="111">
        <v>7.29</v>
      </c>
      <c r="I28" s="124">
        <f t="shared" si="1"/>
        <v>9.2991608074393292E-5</v>
      </c>
      <c r="J28" s="124">
        <f t="shared" si="2"/>
        <v>8.9923569586795196E-5</v>
      </c>
      <c r="K28" s="124">
        <f t="shared" si="3"/>
        <v>7.2246888131293117E-5</v>
      </c>
    </row>
  </sheetData>
  <mergeCells count="5">
    <mergeCell ref="A1:H1"/>
    <mergeCell ref="A2:H2"/>
    <mergeCell ref="A3:H3"/>
    <mergeCell ref="A4:H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5C11-198B-41FE-8801-6F3DAD431C4C}">
  <dimension ref="A1:K48"/>
  <sheetViews>
    <sheetView topLeftCell="A10" workbookViewId="0">
      <selection activeCell="F5" sqref="F5"/>
    </sheetView>
  </sheetViews>
  <sheetFormatPr defaultColWidth="11" defaultRowHeight="15.95"/>
  <cols>
    <col min="1" max="1" width="76.625" bestFit="1" customWidth="1"/>
    <col min="2" max="2" width="27" customWidth="1"/>
    <col min="3" max="3" width="23" customWidth="1"/>
    <col min="4" max="4" width="23.125" customWidth="1"/>
    <col min="5" max="5" width="21.375" customWidth="1"/>
    <col min="6" max="6" width="19.125" customWidth="1"/>
    <col min="7" max="7" width="19" customWidth="1"/>
    <col min="8" max="8" width="18.5" customWidth="1"/>
    <col min="9" max="9" width="14.625" customWidth="1"/>
    <col min="10" max="10" width="16.625" customWidth="1"/>
    <col min="11" max="11" width="13" customWidth="1"/>
  </cols>
  <sheetData>
    <row r="1" spans="1:11">
      <c r="A1" s="219" t="s">
        <v>0</v>
      </c>
      <c r="B1" s="219"/>
      <c r="C1" s="219"/>
      <c r="D1" s="219"/>
      <c r="E1" s="219"/>
      <c r="F1" s="219"/>
      <c r="G1" s="219"/>
      <c r="H1" s="219"/>
    </row>
    <row r="2" spans="1:11">
      <c r="A2" s="219" t="s">
        <v>33</v>
      </c>
      <c r="B2" s="219"/>
      <c r="C2" s="219"/>
      <c r="D2" s="219"/>
      <c r="E2" s="219"/>
      <c r="F2" s="219"/>
      <c r="G2" s="219"/>
      <c r="H2" s="219"/>
    </row>
    <row r="3" spans="1:11">
      <c r="A3" s="219" t="s">
        <v>2</v>
      </c>
      <c r="B3" s="219"/>
      <c r="C3" s="219"/>
      <c r="D3" s="219"/>
      <c r="E3" s="219"/>
      <c r="F3" s="219"/>
      <c r="G3" s="219"/>
      <c r="H3" s="219"/>
    </row>
    <row r="4" spans="1:11">
      <c r="A4" s="219" t="s">
        <v>3</v>
      </c>
      <c r="B4" s="219"/>
      <c r="C4" s="219"/>
      <c r="D4" s="219"/>
      <c r="E4" s="219"/>
      <c r="F4" s="219"/>
      <c r="G4" s="219"/>
      <c r="H4" s="219"/>
      <c r="I4" s="219" t="s">
        <v>4</v>
      </c>
      <c r="J4" s="219"/>
      <c r="K4" s="219"/>
    </row>
    <row r="6" spans="1:11">
      <c r="B6" s="138" t="s">
        <v>5</v>
      </c>
      <c r="C6" s="138" t="s">
        <v>6</v>
      </c>
      <c r="D6" s="138" t="s">
        <v>7</v>
      </c>
      <c r="E6" s="138" t="s">
        <v>8</v>
      </c>
      <c r="F6" s="138" t="s">
        <v>6</v>
      </c>
      <c r="G6" s="138" t="s">
        <v>7</v>
      </c>
      <c r="H6" s="139" t="s">
        <v>9</v>
      </c>
      <c r="I6" s="138" t="s">
        <v>5</v>
      </c>
      <c r="J6" s="138" t="s">
        <v>8</v>
      </c>
      <c r="K6" s="138" t="s">
        <v>9</v>
      </c>
    </row>
    <row r="7" spans="1:11">
      <c r="A7" t="s">
        <v>34</v>
      </c>
      <c r="B7" s="5"/>
      <c r="C7" s="5"/>
      <c r="D7" s="5"/>
    </row>
    <row r="8" spans="1:11">
      <c r="A8" t="s">
        <v>35</v>
      </c>
      <c r="B8" s="8">
        <v>2133</v>
      </c>
      <c r="C8" s="123">
        <f>B8-E8</f>
        <v>355</v>
      </c>
      <c r="D8" s="124">
        <f>C8/E8</f>
        <v>0.19966254218222723</v>
      </c>
      <c r="E8" s="8">
        <v>1778</v>
      </c>
      <c r="F8" s="123">
        <f>E8-H8</f>
        <v>-1817</v>
      </c>
      <c r="G8" s="124">
        <f>F8/H8</f>
        <v>-0.50542420027816415</v>
      </c>
      <c r="H8" s="8">
        <v>3595</v>
      </c>
      <c r="I8" s="124">
        <f>B8/$B$18</f>
        <v>4.163088453431181E-2</v>
      </c>
      <c r="J8" s="124">
        <f>E8/$E$18</f>
        <v>4.0406335931641023E-2</v>
      </c>
      <c r="K8" s="124">
        <f>H8/$H$18</f>
        <v>8.0733903748119201E-2</v>
      </c>
    </row>
    <row r="9" spans="1:11">
      <c r="A9" t="s">
        <v>36</v>
      </c>
      <c r="B9" s="24">
        <v>2106</v>
      </c>
      <c r="C9" s="140">
        <f t="shared" ref="C9:C44" si="0">B9-E9</f>
        <v>170</v>
      </c>
      <c r="D9" s="124">
        <f t="shared" ref="D9:D44" si="1">C9/E9</f>
        <v>8.78099173553719E-2</v>
      </c>
      <c r="E9" s="24">
        <v>1936</v>
      </c>
      <c r="F9" s="140">
        <f t="shared" ref="F9:F44" si="2">E9-H9</f>
        <v>-16</v>
      </c>
      <c r="G9" s="124">
        <f t="shared" ref="G9:G44" si="3">F9/H9</f>
        <v>-8.1967213114754103E-3</v>
      </c>
      <c r="H9" s="24">
        <v>1952</v>
      </c>
      <c r="I9" s="124">
        <f t="shared" ref="I9:I44" si="4">B9/$B$18</f>
        <v>4.11039113123585E-2</v>
      </c>
      <c r="J9" s="124">
        <f t="shared" ref="J9:J44" si="5">E9/$E$18</f>
        <v>4.3997000204531511E-2</v>
      </c>
      <c r="K9" s="124">
        <f t="shared" ref="K9:K44" si="6">H9/$H$18</f>
        <v>4.3836600866850817E-2</v>
      </c>
    </row>
    <row r="10" spans="1:11">
      <c r="A10" t="s">
        <v>37</v>
      </c>
      <c r="B10" s="24">
        <v>14531</v>
      </c>
      <c r="C10" s="140">
        <f t="shared" si="0"/>
        <v>606</v>
      </c>
      <c r="D10" s="124">
        <f t="shared" si="1"/>
        <v>4.3518850987432675E-2</v>
      </c>
      <c r="E10" s="24">
        <v>13925</v>
      </c>
      <c r="F10" s="140">
        <f t="shared" si="2"/>
        <v>1177</v>
      </c>
      <c r="G10" s="124">
        <f t="shared" si="3"/>
        <v>9.2328208346407273E-2</v>
      </c>
      <c r="H10" s="24">
        <v>12748</v>
      </c>
      <c r="I10" s="124">
        <f t="shared" si="4"/>
        <v>0.28360918104457805</v>
      </c>
      <c r="J10" s="124">
        <f t="shared" si="5"/>
        <v>0.31645569620253167</v>
      </c>
      <c r="K10" s="124">
        <f t="shared" si="6"/>
        <v>0.28628534213658513</v>
      </c>
    </row>
    <row r="11" spans="1:11">
      <c r="A11" t="s">
        <v>38</v>
      </c>
      <c r="B11" s="24">
        <v>1040</v>
      </c>
      <c r="C11" s="140">
        <f t="shared" si="0"/>
        <v>150</v>
      </c>
      <c r="D11" s="124">
        <f t="shared" si="1"/>
        <v>0.16853932584269662</v>
      </c>
      <c r="E11" s="24">
        <v>890</v>
      </c>
      <c r="F11" s="140">
        <f t="shared" si="2"/>
        <v>252</v>
      </c>
      <c r="G11" s="124">
        <f t="shared" si="3"/>
        <v>0.39498432601880878</v>
      </c>
      <c r="H11" s="24">
        <v>638</v>
      </c>
      <c r="I11" s="124">
        <f t="shared" si="4"/>
        <v>2.0298227808572097E-2</v>
      </c>
      <c r="J11" s="124">
        <f t="shared" si="5"/>
        <v>2.0225893689066656E-2</v>
      </c>
      <c r="K11" s="124">
        <f t="shared" si="6"/>
        <v>1.4327741471849805E-2</v>
      </c>
    </row>
    <row r="12" spans="1:11">
      <c r="A12" s="4" t="s">
        <v>39</v>
      </c>
      <c r="B12" s="121">
        <f>SUM(B8:B11)</f>
        <v>19810</v>
      </c>
      <c r="C12" s="141">
        <f t="shared" si="0"/>
        <v>1281</v>
      </c>
      <c r="D12" s="137">
        <f t="shared" si="1"/>
        <v>6.9134869663770304E-2</v>
      </c>
      <c r="E12" s="121">
        <f>SUM(E8:E11)</f>
        <v>18529</v>
      </c>
      <c r="F12" s="141">
        <f t="shared" si="2"/>
        <v>-404</v>
      </c>
      <c r="G12" s="137">
        <f t="shared" si="3"/>
        <v>-2.1338403845138118E-2</v>
      </c>
      <c r="H12" s="121">
        <f>SUM(H8:H11)</f>
        <v>18933</v>
      </c>
      <c r="I12" s="137">
        <f t="shared" si="4"/>
        <v>0.38664220469982041</v>
      </c>
      <c r="J12" s="137">
        <f t="shared" si="5"/>
        <v>0.42108492602777081</v>
      </c>
      <c r="K12" s="137">
        <f t="shared" si="6"/>
        <v>0.42518358822340496</v>
      </c>
    </row>
    <row r="13" spans="1:11">
      <c r="B13" s="46"/>
      <c r="C13" s="140"/>
      <c r="D13" s="124"/>
      <c r="E13" s="46"/>
      <c r="F13" s="140"/>
      <c r="G13" s="129"/>
      <c r="H13" s="46"/>
      <c r="I13" s="124"/>
      <c r="J13" s="124"/>
      <c r="K13" s="124"/>
    </row>
    <row r="14" spans="1:11">
      <c r="A14" t="s">
        <v>40</v>
      </c>
      <c r="B14" s="24">
        <v>22770</v>
      </c>
      <c r="C14" s="140">
        <f t="shared" si="0"/>
        <v>395</v>
      </c>
      <c r="D14" s="124">
        <f t="shared" si="1"/>
        <v>1.7653631284916201E-2</v>
      </c>
      <c r="E14" s="24">
        <v>22375</v>
      </c>
      <c r="F14" s="140">
        <f t="shared" si="2"/>
        <v>300</v>
      </c>
      <c r="G14" s="124">
        <f t="shared" si="3"/>
        <v>1.3590033975084938E-2</v>
      </c>
      <c r="H14" s="24">
        <v>22075</v>
      </c>
      <c r="I14" s="124">
        <f t="shared" si="4"/>
        <v>0.44441408384729486</v>
      </c>
      <c r="J14" s="124">
        <f t="shared" si="5"/>
        <v>0.5084880576324341</v>
      </c>
      <c r="K14" s="124">
        <f t="shared" si="6"/>
        <v>0.49574434638101011</v>
      </c>
    </row>
    <row r="15" spans="1:11">
      <c r="A15" t="s">
        <v>41</v>
      </c>
      <c r="B15" s="24">
        <v>5595</v>
      </c>
      <c r="C15" s="140">
        <f t="shared" si="0"/>
        <v>5595</v>
      </c>
      <c r="D15" s="124"/>
      <c r="E15" s="24"/>
      <c r="F15" s="140"/>
      <c r="G15" s="124"/>
      <c r="H15" s="24"/>
      <c r="I15" s="124">
        <f t="shared" si="4"/>
        <v>0.10920056210477008</v>
      </c>
      <c r="J15" s="124"/>
      <c r="K15" s="124"/>
    </row>
    <row r="16" spans="1:11">
      <c r="A16" t="s">
        <v>42</v>
      </c>
      <c r="B16" s="24">
        <v>2254</v>
      </c>
      <c r="C16" s="140">
        <f t="shared" si="0"/>
        <v>2</v>
      </c>
      <c r="D16" s="124">
        <f t="shared" si="1"/>
        <v>8.8809946714031975E-4</v>
      </c>
      <c r="E16" s="24">
        <v>2252</v>
      </c>
      <c r="F16" s="140">
        <f t="shared" si="2"/>
        <v>-23</v>
      </c>
      <c r="G16" s="124">
        <f t="shared" si="3"/>
        <v>-1.0109890109890111E-2</v>
      </c>
      <c r="H16" s="24">
        <v>2275</v>
      </c>
      <c r="I16" s="124">
        <f t="shared" si="4"/>
        <v>4.3992505269732217E-2</v>
      </c>
      <c r="J16" s="124">
        <f t="shared" si="5"/>
        <v>5.1178328750312481E-2</v>
      </c>
      <c r="K16" s="124">
        <f t="shared" si="6"/>
        <v>5.1090300702912705E-2</v>
      </c>
    </row>
    <row r="17" spans="1:11">
      <c r="A17" t="s">
        <v>43</v>
      </c>
      <c r="B17" s="24">
        <v>807</v>
      </c>
      <c r="C17" s="140">
        <f t="shared" si="0"/>
        <v>-40</v>
      </c>
      <c r="D17" s="124">
        <f t="shared" si="1"/>
        <v>-4.7225501770956316E-2</v>
      </c>
      <c r="E17" s="24">
        <v>847</v>
      </c>
      <c r="F17" s="140">
        <f t="shared" si="2"/>
        <v>-399</v>
      </c>
      <c r="G17" s="124">
        <f t="shared" si="3"/>
        <v>-0.3202247191011236</v>
      </c>
      <c r="H17" s="24">
        <v>1246</v>
      </c>
      <c r="I17" s="124">
        <f t="shared" si="4"/>
        <v>1.5750644078382389E-2</v>
      </c>
      <c r="J17" s="124">
        <f t="shared" si="5"/>
        <v>1.9248687589482536E-2</v>
      </c>
      <c r="K17" s="124">
        <f t="shared" si="6"/>
        <v>2.798176469267219E-2</v>
      </c>
    </row>
    <row r="18" spans="1:11" ht="17.100000000000001" thickBot="1">
      <c r="A18" s="4" t="s">
        <v>44</v>
      </c>
      <c r="B18" s="41">
        <f>SUM(B12:B17)</f>
        <v>51236</v>
      </c>
      <c r="C18" s="142">
        <f t="shared" si="0"/>
        <v>7233</v>
      </c>
      <c r="D18" s="131">
        <f t="shared" si="1"/>
        <v>0.16437515623934731</v>
      </c>
      <c r="E18" s="104">
        <f>SUM(E12:E17)</f>
        <v>44003</v>
      </c>
      <c r="F18" s="142">
        <f t="shared" si="2"/>
        <v>-526</v>
      </c>
      <c r="G18" s="131">
        <f t="shared" si="3"/>
        <v>-1.1812526668014103E-2</v>
      </c>
      <c r="H18" s="41">
        <f>SUM(H12:H17)</f>
        <v>44529</v>
      </c>
      <c r="I18" s="131">
        <f t="shared" si="4"/>
        <v>1</v>
      </c>
      <c r="J18" s="131">
        <f t="shared" si="5"/>
        <v>1</v>
      </c>
      <c r="K18" s="131">
        <f t="shared" si="6"/>
        <v>1</v>
      </c>
    </row>
    <row r="19" spans="1:11" ht="17.100000000000001" thickTop="1">
      <c r="A19" t="s">
        <v>45</v>
      </c>
      <c r="B19" s="24"/>
      <c r="C19" s="140"/>
      <c r="D19" s="124"/>
      <c r="E19" s="24"/>
      <c r="F19" s="140"/>
      <c r="G19" s="124"/>
      <c r="H19" s="24"/>
      <c r="I19" s="124"/>
      <c r="J19" s="124"/>
      <c r="K19" s="124"/>
    </row>
    <row r="20" spans="1:11">
      <c r="A20" t="s">
        <v>46</v>
      </c>
      <c r="B20" s="24"/>
      <c r="C20" s="140"/>
      <c r="D20" s="124"/>
      <c r="E20" s="24"/>
      <c r="F20" s="140"/>
      <c r="G20" s="124"/>
      <c r="H20" s="24"/>
      <c r="I20" s="124"/>
      <c r="J20" s="124"/>
      <c r="K20" s="124"/>
    </row>
    <row r="21" spans="1:11">
      <c r="A21" t="s">
        <v>47</v>
      </c>
      <c r="B21" s="2">
        <v>974</v>
      </c>
      <c r="C21" s="140">
        <f t="shared" si="0"/>
        <v>-365</v>
      </c>
      <c r="D21" s="124">
        <f t="shared" si="1"/>
        <v>-0.2725914861837192</v>
      </c>
      <c r="E21" s="2">
        <v>1339</v>
      </c>
      <c r="F21" s="140">
        <f t="shared" si="2"/>
        <v>-220</v>
      </c>
      <c r="G21" s="124">
        <f t="shared" si="3"/>
        <v>-0.14111610006414368</v>
      </c>
      <c r="H21" s="2">
        <v>1559</v>
      </c>
      <c r="I21" s="124">
        <f t="shared" si="4"/>
        <v>1.901007104379733E-2</v>
      </c>
      <c r="J21" s="124">
        <f t="shared" si="5"/>
        <v>3.0429743426584551E-2</v>
      </c>
      <c r="K21" s="124">
        <f t="shared" si="6"/>
        <v>3.501089177839161E-2</v>
      </c>
    </row>
    <row r="22" spans="1:11">
      <c r="A22" t="s">
        <v>48</v>
      </c>
      <c r="B22" s="24">
        <v>7787</v>
      </c>
      <c r="C22" s="140">
        <f t="shared" si="0"/>
        <v>32</v>
      </c>
      <c r="D22" s="124">
        <f t="shared" si="1"/>
        <v>4.1263700838168925E-3</v>
      </c>
      <c r="E22" s="24">
        <v>7755</v>
      </c>
      <c r="F22" s="140">
        <f t="shared" si="2"/>
        <v>511</v>
      </c>
      <c r="G22" s="124">
        <f t="shared" si="3"/>
        <v>7.0541137493097733E-2</v>
      </c>
      <c r="H22" s="24">
        <v>7244</v>
      </c>
      <c r="I22" s="124">
        <f t="shared" si="4"/>
        <v>0.15198298071668359</v>
      </c>
      <c r="J22" s="124">
        <f t="shared" si="5"/>
        <v>0.1762379837738336</v>
      </c>
      <c r="K22" s="124">
        <f t="shared" si="6"/>
        <v>0.16268050034808776</v>
      </c>
    </row>
    <row r="23" spans="1:11">
      <c r="A23" t="s">
        <v>49</v>
      </c>
      <c r="B23" s="24">
        <v>1494</v>
      </c>
      <c r="C23" s="140">
        <f t="shared" si="0"/>
        <v>-12</v>
      </c>
      <c r="D23" s="124">
        <f t="shared" si="1"/>
        <v>-7.9681274900398405E-3</v>
      </c>
      <c r="E23" s="24">
        <v>1506</v>
      </c>
      <c r="F23" s="140">
        <f t="shared" si="2"/>
        <v>-134</v>
      </c>
      <c r="G23" s="124">
        <f t="shared" si="3"/>
        <v>-8.1707317073170735E-2</v>
      </c>
      <c r="H23" s="24">
        <v>1640</v>
      </c>
      <c r="I23" s="124">
        <f t="shared" si="4"/>
        <v>2.915918494808338E-2</v>
      </c>
      <c r="J23" s="124">
        <f t="shared" si="5"/>
        <v>3.4224939208690318E-2</v>
      </c>
      <c r="K23" s="124">
        <f t="shared" si="6"/>
        <v>3.6829931056165645E-2</v>
      </c>
    </row>
    <row r="24" spans="1:11">
      <c r="A24" t="s">
        <v>50</v>
      </c>
      <c r="B24" s="24">
        <v>605</v>
      </c>
      <c r="C24" s="140">
        <f t="shared" si="0"/>
        <v>-51</v>
      </c>
      <c r="D24" s="124">
        <f t="shared" si="1"/>
        <v>-7.774390243902439E-2</v>
      </c>
      <c r="E24" s="24">
        <v>656</v>
      </c>
      <c r="F24" s="140">
        <f t="shared" si="2"/>
        <v>136</v>
      </c>
      <c r="G24" s="124">
        <f t="shared" si="3"/>
        <v>0.26153846153846155</v>
      </c>
      <c r="H24" s="24">
        <v>520</v>
      </c>
      <c r="I24" s="124">
        <f t="shared" si="4"/>
        <v>1.1808103677102038E-2</v>
      </c>
      <c r="J24" s="124">
        <f t="shared" si="5"/>
        <v>1.4908074449469354E-2</v>
      </c>
      <c r="K24" s="124">
        <f t="shared" si="6"/>
        <v>1.167778301780862E-2</v>
      </c>
    </row>
    <row r="25" spans="1:11">
      <c r="A25" t="s">
        <v>51</v>
      </c>
      <c r="B25" s="24">
        <v>2116</v>
      </c>
      <c r="C25" s="140">
        <f t="shared" si="0"/>
        <v>334</v>
      </c>
      <c r="D25" s="124">
        <f t="shared" si="1"/>
        <v>0.18742985409652077</v>
      </c>
      <c r="E25" s="24">
        <v>1782</v>
      </c>
      <c r="F25" s="140">
        <f t="shared" si="2"/>
        <v>-23</v>
      </c>
      <c r="G25" s="124">
        <f t="shared" si="3"/>
        <v>-1.2742382271468145E-2</v>
      </c>
      <c r="H25" s="24">
        <v>1805</v>
      </c>
      <c r="I25" s="124">
        <f t="shared" si="4"/>
        <v>4.1299086579748616E-2</v>
      </c>
      <c r="J25" s="124">
        <f t="shared" si="5"/>
        <v>4.0497238824625595E-2</v>
      </c>
      <c r="K25" s="124">
        <f t="shared" si="6"/>
        <v>4.0535381436816453E-2</v>
      </c>
    </row>
    <row r="26" spans="1:11">
      <c r="A26" t="s">
        <v>52</v>
      </c>
      <c r="B26" s="24">
        <v>55</v>
      </c>
      <c r="C26" s="140">
        <f t="shared" si="0"/>
        <v>44</v>
      </c>
      <c r="D26" s="124">
        <f t="shared" si="1"/>
        <v>4</v>
      </c>
      <c r="E26" s="24">
        <v>11</v>
      </c>
      <c r="F26" s="140">
        <f t="shared" si="2"/>
        <v>-43</v>
      </c>
      <c r="G26" s="124">
        <f t="shared" si="3"/>
        <v>-0.79629629629629628</v>
      </c>
      <c r="H26" s="24">
        <v>54</v>
      </c>
      <c r="I26" s="124">
        <f t="shared" si="4"/>
        <v>1.0734639706456398E-3</v>
      </c>
      <c r="J26" s="124">
        <f t="shared" si="5"/>
        <v>2.4998295570756538E-4</v>
      </c>
      <c r="K26" s="124">
        <f t="shared" si="6"/>
        <v>1.2126928518493567E-3</v>
      </c>
    </row>
    <row r="27" spans="1:11">
      <c r="A27" t="s">
        <v>53</v>
      </c>
      <c r="B27" s="24">
        <v>1839</v>
      </c>
      <c r="C27" s="140">
        <f t="shared" si="0"/>
        <v>783</v>
      </c>
      <c r="D27" s="124">
        <f t="shared" si="1"/>
        <v>0.74147727272727271</v>
      </c>
      <c r="E27" s="24">
        <v>1056</v>
      </c>
      <c r="F27" s="140">
        <f t="shared" si="2"/>
        <v>-146</v>
      </c>
      <c r="G27" s="124">
        <f t="shared" si="3"/>
        <v>-0.12146422628951747</v>
      </c>
      <c r="H27" s="24">
        <v>1202</v>
      </c>
      <c r="I27" s="124">
        <f t="shared" si="4"/>
        <v>3.589273167304239E-2</v>
      </c>
      <c r="J27" s="124">
        <f t="shared" si="5"/>
        <v>2.3998363747926278E-2</v>
      </c>
      <c r="K27" s="124">
        <f t="shared" si="6"/>
        <v>2.6993644591165308E-2</v>
      </c>
    </row>
    <row r="28" spans="1:11">
      <c r="A28" t="s">
        <v>54</v>
      </c>
      <c r="B28" s="24">
        <v>828</v>
      </c>
      <c r="C28" s="140">
        <f t="shared" si="0"/>
        <v>828</v>
      </c>
      <c r="D28" s="124"/>
      <c r="E28" s="24"/>
      <c r="F28" s="140"/>
      <c r="G28" s="124"/>
      <c r="H28" s="24"/>
      <c r="I28" s="124">
        <f t="shared" si="4"/>
        <v>1.616051213990163E-2</v>
      </c>
      <c r="J28" s="124"/>
      <c r="K28" s="124"/>
    </row>
    <row r="29" spans="1:11">
      <c r="A29" t="s">
        <v>55</v>
      </c>
      <c r="B29" s="24">
        <v>2677</v>
      </c>
      <c r="C29" s="143">
        <f t="shared" si="0"/>
        <v>66</v>
      </c>
      <c r="D29" s="124">
        <f t="shared" si="1"/>
        <v>2.5277671390271927E-2</v>
      </c>
      <c r="E29" s="24">
        <v>2611</v>
      </c>
      <c r="F29" s="140">
        <f t="shared" si="2"/>
        <v>441</v>
      </c>
      <c r="G29" s="124">
        <f t="shared" si="3"/>
        <v>0.20322580645161289</v>
      </c>
      <c r="H29" s="24">
        <v>2170</v>
      </c>
      <c r="I29" s="124">
        <f t="shared" si="4"/>
        <v>5.2248419080334139E-2</v>
      </c>
      <c r="J29" s="124">
        <f t="shared" si="5"/>
        <v>5.9336863395677571E-2</v>
      </c>
      <c r="K29" s="124">
        <f t="shared" si="6"/>
        <v>4.873228682431674E-2</v>
      </c>
    </row>
    <row r="30" spans="1:11">
      <c r="A30" s="4" t="s">
        <v>56</v>
      </c>
      <c r="B30" s="33">
        <f>SUM(B21:B29)</f>
        <v>18375</v>
      </c>
      <c r="C30" s="144">
        <f t="shared" si="0"/>
        <v>1659</v>
      </c>
      <c r="D30" s="145">
        <f t="shared" si="1"/>
        <v>9.9246231155778894E-2</v>
      </c>
      <c r="E30" s="33">
        <f>SUM(E21:E29)</f>
        <v>16716</v>
      </c>
      <c r="F30" s="144">
        <f t="shared" si="2"/>
        <v>522</v>
      </c>
      <c r="G30" s="145">
        <f t="shared" si="3"/>
        <v>3.2234160800296403E-2</v>
      </c>
      <c r="H30" s="33">
        <f>SUM(H21:H29)</f>
        <v>16194</v>
      </c>
      <c r="I30" s="137">
        <f t="shared" si="4"/>
        <v>0.35863455382933873</v>
      </c>
      <c r="J30" s="137">
        <f t="shared" si="5"/>
        <v>0.37988318978251484</v>
      </c>
      <c r="K30" s="137">
        <f t="shared" si="6"/>
        <v>0.3636731119046015</v>
      </c>
    </row>
    <row r="31" spans="1:11">
      <c r="A31" s="4"/>
      <c r="B31" s="46"/>
      <c r="C31" s="140"/>
      <c r="D31" s="124"/>
      <c r="E31" s="46"/>
      <c r="F31" s="140"/>
      <c r="G31" s="129"/>
      <c r="H31" s="46"/>
      <c r="I31" s="124"/>
      <c r="J31" s="124"/>
      <c r="K31" s="124"/>
    </row>
    <row r="32" spans="1:11">
      <c r="A32" t="s">
        <v>57</v>
      </c>
      <c r="B32" s="24">
        <v>28670</v>
      </c>
      <c r="C32" s="140">
        <f t="shared" si="0"/>
        <v>1863</v>
      </c>
      <c r="D32" s="124">
        <f t="shared" si="1"/>
        <v>6.9496773230872527E-2</v>
      </c>
      <c r="E32" s="24">
        <v>26807</v>
      </c>
      <c r="F32" s="140">
        <f t="shared" si="2"/>
        <v>2540</v>
      </c>
      <c r="G32" s="124">
        <f t="shared" si="3"/>
        <v>0.1046688919108254</v>
      </c>
      <c r="H32" s="24">
        <v>24267</v>
      </c>
      <c r="I32" s="124">
        <f t="shared" si="4"/>
        <v>0.55956749160746355</v>
      </c>
      <c r="J32" s="124">
        <f t="shared" si="5"/>
        <v>0.60920846305933685</v>
      </c>
      <c r="K32" s="124">
        <f t="shared" si="6"/>
        <v>0.54497069325608027</v>
      </c>
    </row>
    <row r="33" spans="1:11">
      <c r="A33" t="s">
        <v>58</v>
      </c>
      <c r="B33" s="24">
        <v>5066</v>
      </c>
      <c r="C33" s="140">
        <f t="shared" si="0"/>
        <v>5066</v>
      </c>
      <c r="D33" s="124"/>
      <c r="E33" s="24"/>
      <c r="F33" s="140"/>
      <c r="G33" s="124"/>
      <c r="H33" s="24"/>
      <c r="I33" s="124">
        <f t="shared" si="4"/>
        <v>9.8875790459832927E-2</v>
      </c>
      <c r="J33" s="124"/>
      <c r="K33" s="124"/>
    </row>
    <row r="34" spans="1:11">
      <c r="A34" t="s">
        <v>59</v>
      </c>
      <c r="B34" s="24">
        <v>706</v>
      </c>
      <c r="C34" s="140">
        <f t="shared" si="0"/>
        <v>215</v>
      </c>
      <c r="D34" s="124">
        <f t="shared" si="1"/>
        <v>0.43788187372708759</v>
      </c>
      <c r="E34" s="24">
        <v>491</v>
      </c>
      <c r="F34" s="140">
        <f t="shared" si="2"/>
        <v>51</v>
      </c>
      <c r="G34" s="124">
        <f t="shared" si="3"/>
        <v>0.11590909090909091</v>
      </c>
      <c r="H34" s="24">
        <v>440</v>
      </c>
      <c r="I34" s="124">
        <f t="shared" si="4"/>
        <v>1.3779373877742213E-2</v>
      </c>
      <c r="J34" s="124">
        <f t="shared" si="5"/>
        <v>1.1158330113855874E-2</v>
      </c>
      <c r="K34" s="124">
        <f t="shared" si="6"/>
        <v>9.8812010150688308E-3</v>
      </c>
    </row>
    <row r="35" spans="1:11">
      <c r="A35" t="s">
        <v>60</v>
      </c>
      <c r="B35" s="46">
        <v>1535</v>
      </c>
      <c r="C35" s="143">
        <f t="shared" si="0"/>
        <v>-332</v>
      </c>
      <c r="D35" s="124">
        <f t="shared" si="1"/>
        <v>-0.17782538832351366</v>
      </c>
      <c r="E35" s="46">
        <v>1867</v>
      </c>
      <c r="F35" s="143">
        <f t="shared" si="2"/>
        <v>-307</v>
      </c>
      <c r="G35" s="129">
        <f t="shared" si="3"/>
        <v>-0.14121435142594296</v>
      </c>
      <c r="H35" s="46">
        <v>2174</v>
      </c>
      <c r="I35" s="129">
        <f t="shared" si="4"/>
        <v>2.9959403544382857E-2</v>
      </c>
      <c r="J35" s="129">
        <f t="shared" si="5"/>
        <v>4.242892530054769E-2</v>
      </c>
      <c r="K35" s="129">
        <f t="shared" si="6"/>
        <v>4.8822115924453728E-2</v>
      </c>
    </row>
    <row r="36" spans="1:11">
      <c r="A36" s="4" t="s">
        <v>61</v>
      </c>
      <c r="B36" s="105">
        <f>SUM(B30:B35)</f>
        <v>54352</v>
      </c>
      <c r="C36" s="141">
        <f t="shared" si="0"/>
        <v>8471</v>
      </c>
      <c r="D36" s="141">
        <f t="shared" si="1"/>
        <v>0.18462980318650421</v>
      </c>
      <c r="E36" s="105">
        <f>SUM(E30:E35)</f>
        <v>45881</v>
      </c>
      <c r="F36" s="141">
        <f t="shared" si="2"/>
        <v>2806</v>
      </c>
      <c r="G36" s="141">
        <f t="shared" si="3"/>
        <v>6.5142193847939636E-2</v>
      </c>
      <c r="H36" s="105">
        <f>SUM(H30:H35)</f>
        <v>43075</v>
      </c>
      <c r="I36" s="137">
        <f t="shared" si="4"/>
        <v>1.0608166133187602</v>
      </c>
      <c r="J36" s="137">
        <f t="shared" si="5"/>
        <v>1.0426789082562553</v>
      </c>
      <c r="K36" s="137">
        <f t="shared" si="6"/>
        <v>0.96734712210020435</v>
      </c>
    </row>
    <row r="37" spans="1:11">
      <c r="A37" t="s">
        <v>62</v>
      </c>
      <c r="B37" s="24"/>
      <c r="C37" s="140"/>
      <c r="D37" s="129"/>
      <c r="E37" s="24"/>
      <c r="F37" s="140"/>
      <c r="G37" s="124"/>
      <c r="H37" s="24"/>
      <c r="I37" s="124"/>
      <c r="J37" s="124"/>
      <c r="K37" s="124"/>
    </row>
    <row r="38" spans="1:11">
      <c r="A38" t="s">
        <v>63</v>
      </c>
      <c r="B38" s="24">
        <v>89</v>
      </c>
      <c r="C38" s="140"/>
      <c r="D38" s="124">
        <f t="shared" si="1"/>
        <v>0</v>
      </c>
      <c r="E38" s="24">
        <v>89</v>
      </c>
      <c r="F38" s="140"/>
      <c r="G38" s="124">
        <f t="shared" si="3"/>
        <v>0</v>
      </c>
      <c r="H38" s="24">
        <v>89</v>
      </c>
      <c r="I38" s="124">
        <f t="shared" si="4"/>
        <v>1.7370598797720354E-3</v>
      </c>
      <c r="J38" s="124">
        <f t="shared" si="5"/>
        <v>2.0225893689066656E-3</v>
      </c>
      <c r="K38" s="124">
        <f t="shared" si="6"/>
        <v>1.9986974780480137E-3</v>
      </c>
    </row>
    <row r="39" spans="1:11">
      <c r="A39" t="s">
        <v>64</v>
      </c>
      <c r="B39" s="24">
        <v>11001</v>
      </c>
      <c r="C39" s="140">
        <f t="shared" si="0"/>
        <v>423</v>
      </c>
      <c r="D39" s="124">
        <f t="shared" si="1"/>
        <v>3.9988655700510495E-2</v>
      </c>
      <c r="E39" s="24">
        <v>10578</v>
      </c>
      <c r="F39" s="140">
        <f t="shared" si="2"/>
        <v>386</v>
      </c>
      <c r="G39" s="124">
        <f t="shared" si="3"/>
        <v>3.7872841444270014E-2</v>
      </c>
      <c r="H39" s="24">
        <v>10192</v>
      </c>
      <c r="I39" s="124">
        <f t="shared" si="4"/>
        <v>0.21471231165586696</v>
      </c>
      <c r="J39" s="124">
        <f t="shared" si="5"/>
        <v>0.24039270049769335</v>
      </c>
      <c r="K39" s="124">
        <f t="shared" si="6"/>
        <v>0.22888454714904893</v>
      </c>
    </row>
    <row r="40" spans="1:11">
      <c r="A40" t="s">
        <v>65</v>
      </c>
      <c r="B40" s="24">
        <v>51729</v>
      </c>
      <c r="C40" s="140">
        <f t="shared" si="0"/>
        <v>5306</v>
      </c>
      <c r="D40" s="124">
        <f t="shared" si="1"/>
        <v>0.11429679253818151</v>
      </c>
      <c r="E40" s="24">
        <v>46423</v>
      </c>
      <c r="F40" s="140">
        <f t="shared" si="2"/>
        <v>6488</v>
      </c>
      <c r="G40" s="124">
        <f t="shared" si="3"/>
        <v>0.16246400400651059</v>
      </c>
      <c r="H40" s="24">
        <v>39935</v>
      </c>
      <c r="I40" s="124">
        <f t="shared" si="4"/>
        <v>1.0096221406823327</v>
      </c>
      <c r="J40" s="124">
        <f t="shared" si="5"/>
        <v>1.0549962502556645</v>
      </c>
      <c r="K40" s="124">
        <f t="shared" si="6"/>
        <v>0.89683127849266775</v>
      </c>
    </row>
    <row r="41" spans="1:11">
      <c r="A41" t="s">
        <v>66</v>
      </c>
      <c r="B41" s="24">
        <v>-739</v>
      </c>
      <c r="C41" s="140">
        <f t="shared" si="0"/>
        <v>33</v>
      </c>
      <c r="D41" s="124">
        <f t="shared" si="1"/>
        <v>-4.2746113989637305E-2</v>
      </c>
      <c r="E41" s="24">
        <v>-772</v>
      </c>
      <c r="F41" s="140">
        <f t="shared" si="2"/>
        <v>-206</v>
      </c>
      <c r="G41" s="124">
        <f t="shared" si="3"/>
        <v>0.36395759717314485</v>
      </c>
      <c r="H41" s="24">
        <v>-566</v>
      </c>
      <c r="I41" s="124">
        <f t="shared" si="4"/>
        <v>-1.4423452260129596E-2</v>
      </c>
      <c r="J41" s="124">
        <f t="shared" si="5"/>
        <v>-1.7544258346021861E-2</v>
      </c>
      <c r="K41" s="124">
        <f t="shared" si="6"/>
        <v>-1.2710817669383997E-2</v>
      </c>
    </row>
    <row r="42" spans="1:11">
      <c r="A42" t="s">
        <v>67</v>
      </c>
      <c r="B42" s="24">
        <v>-65196</v>
      </c>
      <c r="C42" s="140">
        <f t="shared" si="0"/>
        <v>-7000</v>
      </c>
      <c r="D42" s="124">
        <f t="shared" si="1"/>
        <v>0.12028318097463743</v>
      </c>
      <c r="E42" s="24">
        <v>-58196</v>
      </c>
      <c r="F42" s="140">
        <f t="shared" si="2"/>
        <v>-10000</v>
      </c>
      <c r="G42" s="124">
        <f t="shared" si="3"/>
        <v>0.20748609843140509</v>
      </c>
      <c r="H42" s="25">
        <v>-48196</v>
      </c>
      <c r="I42" s="124">
        <f t="shared" si="4"/>
        <v>-1.2724646732766023</v>
      </c>
      <c r="J42" s="124">
        <f t="shared" si="5"/>
        <v>-1.3225461900324977</v>
      </c>
      <c r="K42" s="124">
        <f t="shared" si="6"/>
        <v>-1.0823508275505851</v>
      </c>
    </row>
    <row r="43" spans="1:11">
      <c r="A43" t="s">
        <v>68</v>
      </c>
      <c r="B43" s="33">
        <f>SUM(B38:B42)</f>
        <v>-3116</v>
      </c>
      <c r="C43" s="144">
        <f t="shared" si="0"/>
        <v>-1238</v>
      </c>
      <c r="D43" s="145">
        <f t="shared" si="1"/>
        <v>0.65921192758253466</v>
      </c>
      <c r="E43" s="40">
        <f>SUM(E38:E42)</f>
        <v>-1878</v>
      </c>
      <c r="F43" s="144">
        <f t="shared" si="2"/>
        <v>-3332</v>
      </c>
      <c r="G43" s="148">
        <f t="shared" si="3"/>
        <v>-2.2916093535075652</v>
      </c>
      <c r="H43" s="33">
        <f>SUM(H38:H42)</f>
        <v>1454</v>
      </c>
      <c r="I43" s="137">
        <f t="shared" si="4"/>
        <v>-6.0816613318760246E-2</v>
      </c>
      <c r="J43" s="137">
        <f t="shared" si="5"/>
        <v>-4.2678908256255255E-2</v>
      </c>
      <c r="K43" s="137">
        <f t="shared" si="6"/>
        <v>3.2652877899795638E-2</v>
      </c>
    </row>
    <row r="44" spans="1:11" ht="17.100000000000001" thickBot="1">
      <c r="A44" t="s">
        <v>69</v>
      </c>
      <c r="B44" s="26">
        <f>(B36+B43)</f>
        <v>51236</v>
      </c>
      <c r="C44" s="146">
        <f t="shared" si="0"/>
        <v>7233</v>
      </c>
      <c r="D44" s="147">
        <f t="shared" si="1"/>
        <v>0.16437515623934731</v>
      </c>
      <c r="E44" s="41">
        <f>E36+E43</f>
        <v>44003</v>
      </c>
      <c r="F44" s="146">
        <f t="shared" si="2"/>
        <v>-526</v>
      </c>
      <c r="G44" s="131">
        <f t="shared" si="3"/>
        <v>-1.1812526668014103E-2</v>
      </c>
      <c r="H44" s="26">
        <f>H36+H43</f>
        <v>44529</v>
      </c>
      <c r="I44" s="131">
        <f t="shared" si="4"/>
        <v>1</v>
      </c>
      <c r="J44" s="131">
        <f t="shared" si="5"/>
        <v>1</v>
      </c>
      <c r="K44" s="131">
        <f t="shared" si="6"/>
        <v>1</v>
      </c>
    </row>
    <row r="45" spans="1:11" ht="17.100000000000001" thickTop="1"/>
    <row r="46" spans="1:11">
      <c r="A46" t="s">
        <v>70</v>
      </c>
      <c r="B46">
        <v>1077</v>
      </c>
      <c r="E46">
        <v>1105</v>
      </c>
      <c r="H46">
        <v>1158</v>
      </c>
    </row>
    <row r="48" spans="1:11">
      <c r="A48" t="s">
        <v>71</v>
      </c>
      <c r="B48" s="20">
        <v>230.3</v>
      </c>
      <c r="E48" s="20">
        <v>184.3</v>
      </c>
      <c r="H48">
        <v>207.23</v>
      </c>
    </row>
  </sheetData>
  <mergeCells count="5">
    <mergeCell ref="A1:H1"/>
    <mergeCell ref="A2:H2"/>
    <mergeCell ref="A3:H3"/>
    <mergeCell ref="A4:H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9DE1-F0C8-4AB2-A1E3-EDFE79A6ED73}">
  <dimension ref="A1:H44"/>
  <sheetViews>
    <sheetView zoomScale="62" workbookViewId="0">
      <selection activeCell="C51" sqref="C51"/>
    </sheetView>
  </sheetViews>
  <sheetFormatPr defaultColWidth="11" defaultRowHeight="15.95"/>
  <cols>
    <col min="1" max="1" width="63.5" customWidth="1"/>
    <col min="2" max="4" width="35.625" customWidth="1"/>
    <col min="5" max="7" width="28.625" customWidth="1"/>
    <col min="8" max="8" width="32.625" customWidth="1"/>
  </cols>
  <sheetData>
    <row r="1" spans="1:8">
      <c r="A1" s="219" t="s">
        <v>0</v>
      </c>
      <c r="B1" s="219"/>
      <c r="C1" s="219"/>
      <c r="D1" s="219"/>
      <c r="E1" s="219"/>
      <c r="F1" s="219"/>
      <c r="G1" s="219"/>
      <c r="H1" s="219"/>
    </row>
    <row r="2" spans="1:8">
      <c r="A2" s="219" t="s">
        <v>72</v>
      </c>
      <c r="B2" s="219"/>
      <c r="C2" s="219"/>
      <c r="D2" s="219"/>
      <c r="E2" s="219"/>
      <c r="F2" s="219"/>
      <c r="G2" s="219"/>
      <c r="H2" s="219"/>
    </row>
    <row r="3" spans="1:8">
      <c r="A3" s="219" t="s">
        <v>2</v>
      </c>
      <c r="B3" s="219"/>
      <c r="C3" s="219"/>
      <c r="D3" s="219"/>
      <c r="E3" s="219"/>
      <c r="F3" s="219"/>
      <c r="G3" s="219"/>
      <c r="H3" s="219"/>
    </row>
    <row r="4" spans="1:8">
      <c r="A4" s="219" t="s">
        <v>73</v>
      </c>
      <c r="B4" s="219"/>
      <c r="C4" s="219"/>
      <c r="D4" s="219"/>
      <c r="E4" s="219"/>
      <c r="F4" s="219"/>
      <c r="G4" s="219"/>
      <c r="H4" s="219"/>
    </row>
    <row r="6" spans="1:8">
      <c r="A6" s="5"/>
      <c r="B6" s="122" t="s">
        <v>5</v>
      </c>
      <c r="C6" s="122" t="s">
        <v>6</v>
      </c>
      <c r="D6" s="122" t="s">
        <v>7</v>
      </c>
      <c r="E6" s="122" t="s">
        <v>8</v>
      </c>
      <c r="F6" s="149" t="s">
        <v>6</v>
      </c>
      <c r="G6" s="122" t="s">
        <v>7</v>
      </c>
      <c r="H6" s="122" t="s">
        <v>9</v>
      </c>
    </row>
    <row r="7" spans="1:8">
      <c r="A7" t="s">
        <v>74</v>
      </c>
      <c r="B7" s="10"/>
      <c r="C7" s="10"/>
      <c r="D7" s="10"/>
      <c r="E7" s="10"/>
      <c r="F7" s="10"/>
      <c r="G7" s="10"/>
      <c r="H7" s="10"/>
    </row>
    <row r="8" spans="1:8">
      <c r="A8" t="s">
        <v>75</v>
      </c>
      <c r="B8" s="71">
        <v>11242</v>
      </c>
      <c r="C8" s="123">
        <f>B8-E8</f>
        <v>121</v>
      </c>
      <c r="D8" s="124">
        <f>C8/E8</f>
        <v>1.0880316518298714E-2</v>
      </c>
      <c r="E8" s="71">
        <v>11121</v>
      </c>
      <c r="F8" s="123">
        <f>E8-H8</f>
        <v>2491</v>
      </c>
      <c r="G8" s="124">
        <f>F8/H8</f>
        <v>0.28864426419466976</v>
      </c>
      <c r="H8" s="71">
        <v>8630</v>
      </c>
    </row>
    <row r="9" spans="1:8">
      <c r="A9" t="s">
        <v>76</v>
      </c>
      <c r="B9" s="10"/>
      <c r="C9" s="150"/>
      <c r="D9" s="124"/>
      <c r="E9" s="10"/>
      <c r="F9" s="150"/>
      <c r="G9" s="124"/>
      <c r="H9" s="10"/>
    </row>
    <row r="10" spans="1:8">
      <c r="A10" t="s">
        <v>17</v>
      </c>
      <c r="B10" s="11">
        <v>2296</v>
      </c>
      <c r="C10" s="140">
        <f t="shared" ref="C10:C44" si="0">B10-E10</f>
        <v>144</v>
      </c>
      <c r="D10" s="124">
        <f t="shared" ref="D10:D44" si="1">C10/E10</f>
        <v>6.6914498141263934E-2</v>
      </c>
      <c r="E10" s="11">
        <v>2152</v>
      </c>
      <c r="F10" s="140">
        <f t="shared" ref="F10:F44" si="2">E10-H10</f>
        <v>90</v>
      </c>
      <c r="G10" s="124">
        <f t="shared" ref="G10:G44" si="3">F10/H10</f>
        <v>4.3646944713870033E-2</v>
      </c>
      <c r="H10" s="11">
        <v>2062</v>
      </c>
    </row>
    <row r="11" spans="1:8">
      <c r="A11" t="s">
        <v>77</v>
      </c>
      <c r="B11" s="10">
        <v>251</v>
      </c>
      <c r="C11" s="140">
        <f t="shared" si="0"/>
        <v>-31</v>
      </c>
      <c r="D11" s="124">
        <f t="shared" si="1"/>
        <v>-0.1099290780141844</v>
      </c>
      <c r="E11" s="10">
        <v>282</v>
      </c>
      <c r="F11" s="140">
        <f t="shared" si="2"/>
        <v>9</v>
      </c>
      <c r="G11" s="124">
        <f t="shared" si="3"/>
        <v>3.2967032967032968E-2</v>
      </c>
      <c r="H11" s="10">
        <v>273</v>
      </c>
    </row>
    <row r="12" spans="1:8">
      <c r="A12" t="s">
        <v>18</v>
      </c>
      <c r="B12" s="65">
        <v>0</v>
      </c>
      <c r="C12" s="140">
        <f t="shared" si="0"/>
        <v>-247</v>
      </c>
      <c r="D12" s="124">
        <f t="shared" si="1"/>
        <v>-1</v>
      </c>
      <c r="E12" s="10">
        <v>247</v>
      </c>
      <c r="F12" s="140">
        <f t="shared" si="2"/>
        <v>247</v>
      </c>
      <c r="G12" s="124"/>
      <c r="H12" s="65">
        <v>0</v>
      </c>
    </row>
    <row r="13" spans="1:8">
      <c r="A13" t="s">
        <v>78</v>
      </c>
      <c r="B13" s="10">
        <v>-170</v>
      </c>
      <c r="C13" s="140">
        <f t="shared" si="0"/>
        <v>-203</v>
      </c>
      <c r="D13" s="124">
        <f t="shared" si="1"/>
        <v>-6.1515151515151514</v>
      </c>
      <c r="E13" s="10">
        <v>33</v>
      </c>
      <c r="F13" s="140">
        <f t="shared" si="2"/>
        <v>-106</v>
      </c>
      <c r="G13" s="124">
        <f t="shared" si="3"/>
        <v>-0.76258992805755399</v>
      </c>
      <c r="H13" s="10">
        <v>139</v>
      </c>
    </row>
    <row r="14" spans="1:8">
      <c r="A14" t="s">
        <v>79</v>
      </c>
      <c r="B14" s="10">
        <v>-593</v>
      </c>
      <c r="C14" s="140">
        <f t="shared" si="0"/>
        <v>651</v>
      </c>
      <c r="D14" s="124">
        <f t="shared" si="1"/>
        <v>-0.52331189710610937</v>
      </c>
      <c r="E14" s="11">
        <v>-1244</v>
      </c>
      <c r="F14" s="140">
        <f t="shared" si="2"/>
        <v>-1160</v>
      </c>
      <c r="G14" s="124">
        <f t="shared" si="3"/>
        <v>13.80952380952381</v>
      </c>
      <c r="H14" s="10">
        <v>-84</v>
      </c>
    </row>
    <row r="15" spans="1:8">
      <c r="A15" t="s">
        <v>80</v>
      </c>
      <c r="B15" s="10">
        <v>-135</v>
      </c>
      <c r="C15" s="140">
        <f t="shared" si="0"/>
        <v>122</v>
      </c>
      <c r="D15" s="124">
        <f t="shared" si="1"/>
        <v>-0.47470817120622566</v>
      </c>
      <c r="E15" s="10">
        <v>-257</v>
      </c>
      <c r="F15" s="140">
        <f t="shared" si="2"/>
        <v>-247</v>
      </c>
      <c r="G15" s="124">
        <f t="shared" si="3"/>
        <v>24.7</v>
      </c>
      <c r="H15" s="10">
        <v>-10</v>
      </c>
    </row>
    <row r="16" spans="1:8">
      <c r="A16" t="s">
        <v>81</v>
      </c>
      <c r="B16" s="10">
        <v>68</v>
      </c>
      <c r="C16" s="140">
        <f>B16-E16</f>
        <v>-675</v>
      </c>
      <c r="D16" s="124">
        <f t="shared" si="1"/>
        <v>-0.9084791386271871</v>
      </c>
      <c r="E16" s="10">
        <v>743</v>
      </c>
      <c r="F16" s="140">
        <f t="shared" si="2"/>
        <v>391</v>
      </c>
      <c r="G16" s="124">
        <f t="shared" si="3"/>
        <v>1.1107954545454546</v>
      </c>
      <c r="H16" s="10">
        <v>352</v>
      </c>
    </row>
    <row r="17" spans="1:8">
      <c r="A17" t="s">
        <v>82</v>
      </c>
      <c r="B17" s="10">
        <v>334</v>
      </c>
      <c r="C17" s="140">
        <f t="shared" si="0"/>
        <v>254</v>
      </c>
      <c r="D17" s="124">
        <f t="shared" si="1"/>
        <v>3.1749999999999998</v>
      </c>
      <c r="E17" s="10">
        <v>80</v>
      </c>
      <c r="F17" s="140">
        <f t="shared" si="2"/>
        <v>-48</v>
      </c>
      <c r="G17" s="124">
        <f t="shared" si="3"/>
        <v>-0.375</v>
      </c>
      <c r="H17" s="10">
        <v>128</v>
      </c>
    </row>
    <row r="18" spans="1:8">
      <c r="A18" t="s">
        <v>83</v>
      </c>
      <c r="B18" s="10">
        <v>44</v>
      </c>
      <c r="C18" s="140">
        <f t="shared" si="0"/>
        <v>86</v>
      </c>
      <c r="D18" s="124">
        <f t="shared" si="1"/>
        <v>-2.0476190476190474</v>
      </c>
      <c r="E18" s="10">
        <v>-42</v>
      </c>
      <c r="F18" s="140">
        <f t="shared" si="2"/>
        <v>-71</v>
      </c>
      <c r="G18" s="124">
        <f t="shared" si="3"/>
        <v>-2.4482758620689653</v>
      </c>
      <c r="H18" s="10">
        <v>29</v>
      </c>
    </row>
    <row r="19" spans="1:8">
      <c r="A19" t="s">
        <v>84</v>
      </c>
      <c r="B19" s="10">
        <v>202</v>
      </c>
      <c r="C19" s="140">
        <f t="shared" si="0"/>
        <v>176</v>
      </c>
      <c r="D19" s="124">
        <f t="shared" si="1"/>
        <v>6.7692307692307692</v>
      </c>
      <c r="E19" s="10">
        <v>26</v>
      </c>
      <c r="F19" s="140">
        <f t="shared" si="2"/>
        <v>-66</v>
      </c>
      <c r="G19" s="124">
        <f t="shared" si="3"/>
        <v>-0.71739130434782605</v>
      </c>
      <c r="H19" s="10">
        <v>92</v>
      </c>
    </row>
    <row r="20" spans="1:8">
      <c r="A20" t="s">
        <v>85</v>
      </c>
      <c r="B20" s="10">
        <v>184</v>
      </c>
      <c r="C20" s="140">
        <f t="shared" si="0"/>
        <v>287</v>
      </c>
      <c r="D20" s="124">
        <f t="shared" si="1"/>
        <v>-2.7864077669902914</v>
      </c>
      <c r="E20" s="10">
        <v>-103</v>
      </c>
      <c r="F20" s="140">
        <f t="shared" si="2"/>
        <v>-523</v>
      </c>
      <c r="G20" s="124">
        <f t="shared" si="3"/>
        <v>-1.2452380952380953</v>
      </c>
      <c r="H20" s="10">
        <v>420</v>
      </c>
    </row>
    <row r="21" spans="1:8">
      <c r="A21" t="s">
        <v>86</v>
      </c>
      <c r="B21" s="19">
        <f>SUM(B8:B20)</f>
        <v>13723</v>
      </c>
      <c r="C21" s="141">
        <f t="shared" si="0"/>
        <v>685</v>
      </c>
      <c r="D21" s="137">
        <f t="shared" si="1"/>
        <v>5.2538732934499156E-2</v>
      </c>
      <c r="E21" s="19">
        <f>SUM(E8:E20)</f>
        <v>13038</v>
      </c>
      <c r="F21" s="141">
        <f t="shared" si="2"/>
        <v>1007</v>
      </c>
      <c r="G21" s="137">
        <f t="shared" si="3"/>
        <v>8.3700440528634359E-2</v>
      </c>
      <c r="H21" s="19">
        <f>SUM(H8:H20)</f>
        <v>12031</v>
      </c>
    </row>
    <row r="22" spans="1:8">
      <c r="A22" t="s">
        <v>87</v>
      </c>
      <c r="B22" s="10"/>
      <c r="C22" s="140"/>
      <c r="D22" s="124"/>
      <c r="E22" s="10"/>
      <c r="F22" s="140"/>
      <c r="G22" s="124"/>
      <c r="H22" s="10"/>
    </row>
    <row r="23" spans="1:8">
      <c r="A23" t="s">
        <v>88</v>
      </c>
      <c r="B23" s="11">
        <v>-2678</v>
      </c>
      <c r="C23" s="140">
        <f t="shared" si="0"/>
        <v>-236</v>
      </c>
      <c r="D23" s="124">
        <f t="shared" si="1"/>
        <v>9.6642096642096637E-2</v>
      </c>
      <c r="E23" s="11">
        <v>-2442</v>
      </c>
      <c r="F23" s="140">
        <f t="shared" si="2"/>
        <v>-545</v>
      </c>
      <c r="G23" s="124">
        <f t="shared" si="3"/>
        <v>0.28729573010015813</v>
      </c>
      <c r="H23" s="11">
        <v>-1897</v>
      </c>
    </row>
    <row r="24" spans="1:8">
      <c r="A24" t="s">
        <v>89</v>
      </c>
      <c r="B24" s="65">
        <v>0</v>
      </c>
      <c r="C24" s="140">
        <f t="shared" si="0"/>
        <v>21</v>
      </c>
      <c r="D24" s="124">
        <f t="shared" si="1"/>
        <v>-1</v>
      </c>
      <c r="E24" s="10">
        <v>-21</v>
      </c>
      <c r="F24" s="140">
        <f t="shared" si="2"/>
        <v>353</v>
      </c>
      <c r="G24" s="124">
        <f t="shared" si="3"/>
        <v>-0.94385026737967914</v>
      </c>
      <c r="H24" s="10">
        <v>-374</v>
      </c>
    </row>
    <row r="25" spans="1:8">
      <c r="A25" t="s">
        <v>90</v>
      </c>
      <c r="B25" s="10">
        <v>37</v>
      </c>
      <c r="C25" s="140">
        <f t="shared" si="0"/>
        <v>4</v>
      </c>
      <c r="D25" s="124">
        <f t="shared" si="1"/>
        <v>0.12121212121212122</v>
      </c>
      <c r="E25" s="10">
        <v>33</v>
      </c>
      <c r="F25" s="140">
        <f t="shared" si="2"/>
        <v>-14</v>
      </c>
      <c r="G25" s="124">
        <f t="shared" si="3"/>
        <v>-0.2978723404255319</v>
      </c>
      <c r="H25" s="10">
        <v>47</v>
      </c>
    </row>
    <row r="26" spans="1:8">
      <c r="A26" t="s">
        <v>91</v>
      </c>
      <c r="B26" s="10">
        <v>-12</v>
      </c>
      <c r="C26" s="140">
        <f t="shared" si="0"/>
        <v>-26</v>
      </c>
      <c r="D26" s="124">
        <f t="shared" si="1"/>
        <v>-1.8571428571428572</v>
      </c>
      <c r="E26" s="10">
        <v>14</v>
      </c>
      <c r="F26" s="140">
        <f t="shared" si="2"/>
        <v>18</v>
      </c>
      <c r="G26" s="124">
        <f t="shared" si="3"/>
        <v>-4.5</v>
      </c>
      <c r="H26" s="10">
        <v>-4</v>
      </c>
    </row>
    <row r="27" spans="1:8">
      <c r="A27" t="s">
        <v>92</v>
      </c>
      <c r="B27" s="19">
        <f>SUM(B23:B26)</f>
        <v>-2653</v>
      </c>
      <c r="C27" s="141">
        <f t="shared" si="0"/>
        <v>-237</v>
      </c>
      <c r="D27" s="137">
        <f t="shared" si="1"/>
        <v>9.8096026490066227E-2</v>
      </c>
      <c r="E27" s="19">
        <f>SUM(E23:E26)</f>
        <v>-2416</v>
      </c>
      <c r="F27" s="141">
        <f t="shared" si="2"/>
        <v>-188</v>
      </c>
      <c r="G27" s="137">
        <f t="shared" si="3"/>
        <v>8.4380610412926396E-2</v>
      </c>
      <c r="H27" s="19">
        <f>SUM(H23:H26)</f>
        <v>-2228</v>
      </c>
    </row>
    <row r="28" spans="1:8">
      <c r="A28" t="s">
        <v>93</v>
      </c>
      <c r="B28" s="10"/>
      <c r="C28" s="140"/>
      <c r="D28" s="124"/>
      <c r="E28" s="10"/>
      <c r="F28" s="140"/>
      <c r="G28" s="124"/>
      <c r="H28" s="10"/>
    </row>
    <row r="29" spans="1:8">
      <c r="A29" t="s">
        <v>94</v>
      </c>
      <c r="B29" s="10">
        <v>-365</v>
      </c>
      <c r="C29" s="140">
        <f t="shared" si="0"/>
        <v>-145</v>
      </c>
      <c r="D29" s="124">
        <f t="shared" si="1"/>
        <v>0.65909090909090906</v>
      </c>
      <c r="E29" s="10">
        <v>-220</v>
      </c>
      <c r="F29" s="140">
        <f t="shared" si="2"/>
        <v>-1070</v>
      </c>
      <c r="G29" s="124">
        <f t="shared" si="3"/>
        <v>-1.2588235294117647</v>
      </c>
      <c r="H29" s="10">
        <v>850</v>
      </c>
    </row>
    <row r="30" spans="1:8">
      <c r="A30" t="s">
        <v>95</v>
      </c>
      <c r="B30" s="11">
        <v>3420</v>
      </c>
      <c r="C30" s="140">
        <f t="shared" si="0"/>
        <v>-46</v>
      </c>
      <c r="D30" s="124">
        <f t="shared" si="1"/>
        <v>-1.3271783035199077E-2</v>
      </c>
      <c r="E30" s="11">
        <v>3466</v>
      </c>
      <c r="F30" s="140">
        <f t="shared" si="2"/>
        <v>475</v>
      </c>
      <c r="G30" s="124">
        <f t="shared" si="3"/>
        <v>0.15880976262119692</v>
      </c>
      <c r="H30" s="11">
        <v>2991</v>
      </c>
    </row>
    <row r="31" spans="1:8">
      <c r="A31" t="s">
        <v>96</v>
      </c>
      <c r="B31" s="11">
        <v>-1070</v>
      </c>
      <c r="C31" s="140">
        <f t="shared" si="0"/>
        <v>139</v>
      </c>
      <c r="D31" s="124">
        <f t="shared" si="1"/>
        <v>-0.11497105045492143</v>
      </c>
      <c r="E31" s="11">
        <v>-1209</v>
      </c>
      <c r="F31" s="140">
        <f t="shared" si="2"/>
        <v>-666</v>
      </c>
      <c r="G31" s="124">
        <f t="shared" si="3"/>
        <v>1.2265193370165746</v>
      </c>
      <c r="H31" s="10">
        <v>-543</v>
      </c>
    </row>
    <row r="32" spans="1:8">
      <c r="A32" t="s">
        <v>97</v>
      </c>
      <c r="B32" s="11">
        <v>-6965</v>
      </c>
      <c r="C32" s="140">
        <f t="shared" si="0"/>
        <v>2998</v>
      </c>
      <c r="D32" s="124">
        <f t="shared" si="1"/>
        <v>-0.30091337950416541</v>
      </c>
      <c r="E32" s="11">
        <v>-9963</v>
      </c>
      <c r="F32" s="140">
        <f t="shared" si="2"/>
        <v>-1963</v>
      </c>
      <c r="G32" s="124">
        <f t="shared" si="3"/>
        <v>0.24537500000000001</v>
      </c>
      <c r="H32" s="11">
        <v>-8000</v>
      </c>
    </row>
    <row r="33" spans="1:8">
      <c r="A33" t="s">
        <v>98</v>
      </c>
      <c r="B33" s="10">
        <v>280</v>
      </c>
      <c r="C33" s="140">
        <f t="shared" si="0"/>
        <v>44</v>
      </c>
      <c r="D33" s="124">
        <f t="shared" si="1"/>
        <v>0.1864406779661017</v>
      </c>
      <c r="E33" s="10">
        <v>236</v>
      </c>
      <c r="F33" s="140">
        <f t="shared" si="2"/>
        <v>-19</v>
      </c>
      <c r="G33" s="124">
        <f t="shared" si="3"/>
        <v>-7.4509803921568626E-2</v>
      </c>
      <c r="H33" s="10">
        <v>255</v>
      </c>
    </row>
    <row r="34" spans="1:8">
      <c r="A34" t="s">
        <v>99</v>
      </c>
      <c r="B34" s="11">
        <v>-5958</v>
      </c>
      <c r="C34" s="140">
        <f t="shared" si="0"/>
        <v>-1254</v>
      </c>
      <c r="D34" s="124">
        <f t="shared" si="1"/>
        <v>0.26658163265306123</v>
      </c>
      <c r="E34" s="11">
        <v>-4704</v>
      </c>
      <c r="F34" s="140">
        <f t="shared" si="2"/>
        <v>-492</v>
      </c>
      <c r="G34" s="124">
        <f t="shared" si="3"/>
        <v>0.11680911680911681</v>
      </c>
      <c r="H34" s="11">
        <v>-4212</v>
      </c>
    </row>
    <row r="35" spans="1:8">
      <c r="A35" t="s">
        <v>100</v>
      </c>
      <c r="B35" s="10">
        <v>-176</v>
      </c>
      <c r="C35" s="140">
        <f t="shared" si="0"/>
        <v>-150</v>
      </c>
      <c r="D35" s="124">
        <f t="shared" si="1"/>
        <v>5.7692307692307692</v>
      </c>
      <c r="E35" s="10">
        <v>-26</v>
      </c>
      <c r="F35" s="140">
        <f t="shared" si="2"/>
        <v>185</v>
      </c>
      <c r="G35" s="124">
        <f t="shared" si="3"/>
        <v>-0.87677725118483407</v>
      </c>
      <c r="H35" s="10">
        <v>-211</v>
      </c>
    </row>
    <row r="36" spans="1:8">
      <c r="A36" t="s">
        <v>101</v>
      </c>
      <c r="B36" s="19">
        <f>SUM(B29:B35)</f>
        <v>-10834</v>
      </c>
      <c r="C36" s="141">
        <f t="shared" si="0"/>
        <v>1586</v>
      </c>
      <c r="D36" s="137">
        <f t="shared" si="1"/>
        <v>-0.12769726247987118</v>
      </c>
      <c r="E36" s="19">
        <f>SUM(E29:E35)</f>
        <v>-12420</v>
      </c>
      <c r="F36" s="141">
        <f t="shared" si="2"/>
        <v>-3550</v>
      </c>
      <c r="G36" s="137">
        <f t="shared" si="3"/>
        <v>0.40022547914317924</v>
      </c>
      <c r="H36" s="19">
        <f>SUM(H29:H35)</f>
        <v>-8870</v>
      </c>
    </row>
    <row r="37" spans="1:8">
      <c r="A37" t="s">
        <v>102</v>
      </c>
      <c r="B37" s="10">
        <v>236</v>
      </c>
      <c r="C37" s="140">
        <f t="shared" si="0"/>
        <v>2034</v>
      </c>
      <c r="D37" s="124">
        <f t="shared" si="1"/>
        <v>-1.1312569521690767</v>
      </c>
      <c r="E37" s="11">
        <v>-1798</v>
      </c>
      <c r="F37" s="140">
        <f t="shared" si="2"/>
        <v>-2731</v>
      </c>
      <c r="G37" s="124">
        <f t="shared" si="3"/>
        <v>-2.927116827438371</v>
      </c>
      <c r="H37" s="10">
        <v>933</v>
      </c>
    </row>
    <row r="38" spans="1:8">
      <c r="A38" t="s">
        <v>103</v>
      </c>
      <c r="B38" s="10">
        <v>119</v>
      </c>
      <c r="C38" s="140">
        <f t="shared" si="0"/>
        <v>138</v>
      </c>
      <c r="D38" s="124">
        <f t="shared" si="1"/>
        <v>-7.2631578947368425</v>
      </c>
      <c r="E38" s="10">
        <v>-19</v>
      </c>
      <c r="F38" s="140">
        <f t="shared" si="2"/>
        <v>-143</v>
      </c>
      <c r="G38" s="124">
        <f t="shared" si="3"/>
        <v>-1.153225806451613</v>
      </c>
      <c r="H38" s="10">
        <v>124</v>
      </c>
    </row>
    <row r="39" spans="1:8">
      <c r="A39" t="s">
        <v>104</v>
      </c>
      <c r="B39" s="11">
        <v>1778</v>
      </c>
      <c r="C39" s="140">
        <f t="shared" si="0"/>
        <v>-1817</v>
      </c>
      <c r="D39" s="124">
        <f t="shared" si="1"/>
        <v>-0.50542420027816415</v>
      </c>
      <c r="E39" s="11">
        <v>3595</v>
      </c>
      <c r="F39" s="140">
        <f t="shared" si="2"/>
        <v>1057</v>
      </c>
      <c r="G39" s="124">
        <f t="shared" si="3"/>
        <v>0.4164696611505122</v>
      </c>
      <c r="H39" s="11">
        <v>2538</v>
      </c>
    </row>
    <row r="40" spans="1:8">
      <c r="A40" t="s">
        <v>105</v>
      </c>
      <c r="B40" s="80">
        <f>SUM(B37:B39)</f>
        <v>2133</v>
      </c>
      <c r="C40" s="130">
        <f t="shared" si="0"/>
        <v>355</v>
      </c>
      <c r="D40" s="131">
        <f t="shared" si="1"/>
        <v>0.19966254218222723</v>
      </c>
      <c r="E40" s="80">
        <f>SUM(E37:E39)</f>
        <v>1778</v>
      </c>
      <c r="F40" s="130">
        <f t="shared" si="2"/>
        <v>-1817</v>
      </c>
      <c r="G40" s="131">
        <f t="shared" si="3"/>
        <v>-0.50542420027816415</v>
      </c>
      <c r="H40" s="80">
        <f>SUM(H37:H39)</f>
        <v>3595</v>
      </c>
    </row>
    <row r="41" spans="1:8">
      <c r="A41" s="5" t="s">
        <v>106</v>
      </c>
      <c r="B41" s="10"/>
      <c r="C41" s="140"/>
      <c r="D41" s="124"/>
      <c r="E41" s="10"/>
      <c r="F41" s="140"/>
      <c r="G41" s="124"/>
      <c r="H41" s="10"/>
    </row>
    <row r="42" spans="1:8">
      <c r="A42" s="10" t="s">
        <v>107</v>
      </c>
      <c r="B42" s="11">
        <v>3220</v>
      </c>
      <c r="C42" s="140">
        <f t="shared" si="0"/>
        <v>-554</v>
      </c>
      <c r="D42" s="124">
        <f t="shared" si="1"/>
        <v>-0.14679385267620562</v>
      </c>
      <c r="E42" s="11">
        <v>3774</v>
      </c>
      <c r="F42" s="140">
        <f t="shared" si="2"/>
        <v>-958</v>
      </c>
      <c r="G42" s="124">
        <f t="shared" si="3"/>
        <v>-0.20245139475908708</v>
      </c>
      <c r="H42" s="11">
        <v>4732</v>
      </c>
    </row>
    <row r="43" spans="1:8">
      <c r="A43" s="10" t="s">
        <v>108</v>
      </c>
      <c r="B43" s="11">
        <v>1112</v>
      </c>
      <c r="C43" s="140">
        <f t="shared" si="0"/>
        <v>77</v>
      </c>
      <c r="D43" s="124">
        <f t="shared" si="1"/>
        <v>7.4396135265700478E-2</v>
      </c>
      <c r="E43" s="11">
        <v>1035</v>
      </c>
      <c r="F43" s="140">
        <f t="shared" si="2"/>
        <v>44</v>
      </c>
      <c r="G43" s="124">
        <f t="shared" si="3"/>
        <v>4.4399596367305755E-2</v>
      </c>
      <c r="H43" s="10">
        <v>991</v>
      </c>
    </row>
    <row r="44" spans="1:8">
      <c r="A44" s="10" t="s">
        <v>109</v>
      </c>
      <c r="B44" s="11">
        <v>136</v>
      </c>
      <c r="C44" s="140">
        <f t="shared" si="0"/>
        <v>-112</v>
      </c>
      <c r="D44" s="124">
        <f t="shared" si="1"/>
        <v>-0.45161290322580644</v>
      </c>
      <c r="E44" s="11">
        <v>248</v>
      </c>
      <c r="F44" s="140">
        <f t="shared" si="2"/>
        <v>98</v>
      </c>
      <c r="G44" s="124">
        <f t="shared" si="3"/>
        <v>0.65333333333333332</v>
      </c>
      <c r="H44" s="11">
        <v>150</v>
      </c>
    </row>
  </sheetData>
  <mergeCells count="4">
    <mergeCell ref="A1:H1"/>
    <mergeCell ref="A2:H2"/>
    <mergeCell ref="A4:H4"/>
    <mergeCell ref="A3:H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608A-AFD0-4F7F-8786-CAF59FA7A695}">
  <dimension ref="A1:Q29"/>
  <sheetViews>
    <sheetView workbookViewId="0">
      <selection activeCell="P18" sqref="P18"/>
    </sheetView>
  </sheetViews>
  <sheetFormatPr defaultColWidth="11" defaultRowHeight="15.95"/>
  <cols>
    <col min="1" max="1" width="27.375" customWidth="1"/>
    <col min="2" max="4" width="15" customWidth="1"/>
    <col min="5" max="5" width="10" customWidth="1"/>
    <col min="6" max="6" width="19.875" customWidth="1"/>
    <col min="7" max="7" width="20.5" customWidth="1"/>
    <col min="8" max="8" width="19.5" customWidth="1"/>
    <col min="10" max="10" width="16.375" customWidth="1"/>
    <col min="11" max="11" width="15.5" customWidth="1"/>
    <col min="12" max="12" width="14.5" customWidth="1"/>
    <col min="14" max="14" width="23.5" customWidth="1"/>
    <col min="15" max="15" width="22" customWidth="1"/>
    <col min="16" max="16" width="23" customWidth="1"/>
  </cols>
  <sheetData>
    <row r="1" spans="1:16" ht="15.95" customHeight="1">
      <c r="B1" s="221" t="s">
        <v>110</v>
      </c>
      <c r="C1" s="221"/>
      <c r="D1" s="221"/>
      <c r="F1" s="222" t="s">
        <v>111</v>
      </c>
      <c r="G1" s="222"/>
      <c r="H1" s="222"/>
      <c r="J1" s="220" t="s">
        <v>112</v>
      </c>
      <c r="K1" s="220"/>
      <c r="L1" s="220"/>
      <c r="N1" s="222" t="s">
        <v>113</v>
      </c>
      <c r="O1" s="222"/>
      <c r="P1" s="222"/>
    </row>
    <row r="2" spans="1:16">
      <c r="A2" s="112" t="s">
        <v>114</v>
      </c>
      <c r="B2" s="114">
        <v>2020</v>
      </c>
      <c r="C2" s="114">
        <v>2019</v>
      </c>
      <c r="D2" s="114">
        <v>2018</v>
      </c>
      <c r="F2" s="114">
        <v>2023</v>
      </c>
      <c r="G2" s="114">
        <v>2024</v>
      </c>
      <c r="H2" s="114">
        <v>2025</v>
      </c>
      <c r="J2" s="113">
        <v>2020</v>
      </c>
      <c r="K2" s="113">
        <v>2019</v>
      </c>
      <c r="L2" s="113">
        <v>2018</v>
      </c>
      <c r="N2" s="114">
        <v>2023</v>
      </c>
      <c r="O2" s="114">
        <v>2024</v>
      </c>
      <c r="P2" s="114">
        <v>2025</v>
      </c>
    </row>
    <row r="3" spans="1:16" ht="17.100000000000001">
      <c r="A3" s="13" t="s">
        <v>115</v>
      </c>
      <c r="B3" s="20">
        <f>'Historical Balance Sheet'!B12/'Historical Balance Sheet'!B30</f>
        <v>1.078095238095238</v>
      </c>
      <c r="C3" s="20">
        <f>'Historical Balance Sheet'!E12/'Historical Balance Sheet'!E30</f>
        <v>1.1084589614740368</v>
      </c>
      <c r="D3" s="20">
        <f>'Historical Balance Sheet'!H12/'Historical Balance Sheet'!E30</f>
        <v>1.1326274228284279</v>
      </c>
      <c r="F3" s="20">
        <f>'Proforma Balance Sheet'!D12/'Proforma Balance Sheet'!D30</f>
        <v>1.3174197422041669</v>
      </c>
      <c r="G3" s="20">
        <f>'Proforma Balance Sheet'!G12/'Proforma Balance Sheet'!G30</f>
        <v>1.2922877415991996</v>
      </c>
      <c r="H3" s="20">
        <f>'Proforma Balance Sheet'!J12/'Proforma Balance Sheet'!J30</f>
        <v>1.3006310468811186</v>
      </c>
      <c r="J3" s="20">
        <f>'Competitor Balance Sheet'!B12/'Competitor Balance Sheet'!B29</f>
        <v>1.0089579765511791</v>
      </c>
      <c r="K3" s="20">
        <f>'Competitor Balance Sheet'!E12/'Competitor Balance Sheet'!E29</f>
        <v>0.98144443678002347</v>
      </c>
      <c r="L3" s="20">
        <f>'Competitor Balance Sheet'!H12/'Competitor Balance Sheet'!H29</f>
        <v>1.0558862433862435</v>
      </c>
      <c r="N3" s="20">
        <f>'Proforma Balance Sheet'!E12/'Proforma Balance Sheet'!E30</f>
        <v>1.3255877249544801</v>
      </c>
      <c r="O3" s="20">
        <f>'Proforma Balance Sheet'!H12/'Proforma Balance Sheet'!H30</f>
        <v>1.3253939386378923</v>
      </c>
      <c r="P3" s="20">
        <f>'Proforma Balance Sheet'!K12/'Proforma Balance Sheet'!K30</f>
        <v>1.3835037190407871</v>
      </c>
    </row>
    <row r="4" spans="1:16">
      <c r="A4" t="s">
        <v>116</v>
      </c>
      <c r="B4" s="20">
        <f>('Historical Balance Sheet'!B8+'Historical Balance Sheet'!B9)/'Historical Balance Sheet'!B30</f>
        <v>0.23069387755102042</v>
      </c>
      <c r="C4" s="20">
        <f>('Historical Balance Sheet'!E8+'Historical Balance Sheet'!E9)/'Historical Balance Sheet'!E30</f>
        <v>0.22218234027279254</v>
      </c>
      <c r="D4" s="20">
        <f>('Historical Balance Sheet'!H8+'Historical Balance Sheet'!H9)/'Historical Balance Sheet'!H30</f>
        <v>0.34253427195257502</v>
      </c>
      <c r="F4" s="20">
        <f>('Proforma Balance Sheet'!B8+'Proforma Balance Sheet'!D9)/'Proforma Balance Sheet'!D30</f>
        <v>0.27440309661595058</v>
      </c>
      <c r="G4" s="20">
        <f>('Proforma Balance Sheet'!G8+'Proforma Balance Sheet'!G9)/'Proforma Balance Sheet'!G30</f>
        <v>0.43815733057580269</v>
      </c>
      <c r="H4" s="20">
        <f>('Proforma Balance Sheet'!J8+'Proforma Balance Sheet'!J9)/'Proforma Balance Sheet'!J30</f>
        <v>0.44412793784341026</v>
      </c>
      <c r="J4" s="20">
        <f>('Competitor Balance Sheet'!B8+'Competitor Balance Sheet'!B9)/'Competitor Balance Sheet'!B29</f>
        <v>5.7699907785535499E-2</v>
      </c>
      <c r="K4" s="20">
        <f>('Competitor Balance Sheet'!E8+'Competitor Balance Sheet'!E9)/'Competitor Balance Sheet'!E29</f>
        <v>5.0286266124025661E-2</v>
      </c>
      <c r="L4" s="20">
        <f>('Competitor Balance Sheet'!H8+'Competitor Balance Sheet'!H9)/'Competitor Balance Sheet'!H29</f>
        <v>5.7043650793650792E-2</v>
      </c>
      <c r="N4" s="20">
        <f>('Proforma Balance Sheet'!E8+'Proforma Balance Sheet'!E9)/'Proforma Balance Sheet'!E30</f>
        <v>0.46356879781648552</v>
      </c>
      <c r="O4" s="20">
        <f>('Proforma Balance Sheet'!H8+'Proforma Balance Sheet'!H9)/'Proforma Balance Sheet'!H30</f>
        <v>0.47073288156708287</v>
      </c>
      <c r="P4" s="20">
        <f>('Proforma Balance Sheet'!K8+'Proforma Balance Sheet'!K9)/'Proforma Balance Sheet'!K30</f>
        <v>0.52613045314433049</v>
      </c>
    </row>
    <row r="5" spans="1:16">
      <c r="A5" t="s">
        <v>117</v>
      </c>
      <c r="B5" s="20">
        <f>'Historical Income Statement '!B9/'Historical Balance Sheet'!B10</f>
        <v>4.9998623632234533</v>
      </c>
      <c r="C5" s="20">
        <f>'Historical Income Statement '!E9/'Historical Balance Sheet'!E10</f>
        <v>5.101831238779174</v>
      </c>
      <c r="D5" s="20">
        <f>'Historical Income Statement '!H9/'Historical Balance Sheet'!H10</f>
        <v>5.2202698462503925</v>
      </c>
      <c r="F5" s="20">
        <f>'Proforma Income Statement'!D9/'Proforma Income Statement'!D10</f>
        <v>1.9337006281273292</v>
      </c>
      <c r="G5" s="20">
        <f>'Proforma Income Statement'!H9/'Proforma Income Statement'!H10</f>
        <v>1.933700628127329</v>
      </c>
      <c r="H5" s="20">
        <f>'Proforma Income Statement'!L9/'Proforma Income Statement'!L10</f>
        <v>1.933700628127329</v>
      </c>
      <c r="J5" s="84">
        <f>'Competitor Income Statement'!B9/'Competitor Balance Sheet'!B10</f>
        <v>3.7335913195234842</v>
      </c>
      <c r="K5" s="84">
        <f>'Competitor Income Statement'!E9/'Competitor Balance Sheet'!E10</f>
        <v>3.8532760130562855</v>
      </c>
      <c r="L5" s="84">
        <f>'Competitor Income Statement'!H9/'Competitor Balance Sheet'!H10</f>
        <v>4.0538049679627841</v>
      </c>
      <c r="N5" s="84">
        <f>'Proforma Income Statement'!F9/'Proforma Balance Sheet'!E10</f>
        <v>5.4880735410078652</v>
      </c>
      <c r="O5" s="84">
        <f>'Proforma Income Statement'!J9/'Proforma Balance Sheet'!H10</f>
        <v>5.588764445554963</v>
      </c>
      <c r="P5" s="84">
        <f>'Proforma Income Statement'!M9/'Proforma Balance Sheet'!K10</f>
        <v>5.76853150150178</v>
      </c>
    </row>
    <row r="6" spans="1:16">
      <c r="A6" t="s">
        <v>118</v>
      </c>
      <c r="B6" s="20">
        <f>('Historical Balance Sheet'!B10/'Historical Income Statement '!B9)*365</f>
        <v>73.002009552255245</v>
      </c>
      <c r="C6" s="20">
        <f>('Historical Balance Sheet'!E10/'Historical Income Statement '!E9)*365</f>
        <v>71.542938783553623</v>
      </c>
      <c r="D6" s="20">
        <f>('Historical Balance Sheet'!H10/'Historical Income Statement '!H9)*365</f>
        <v>69.919757167758604</v>
      </c>
      <c r="F6" s="20">
        <f>('Proforma Balance Sheet'!D10/'Proforma Income Statement'!D9)*365</f>
        <v>66.279197428163798</v>
      </c>
      <c r="G6" s="20">
        <f>('Proforma Balance Sheet'!G10/'Proforma Income Statement'!H9)*365</f>
        <v>64.874985874746343</v>
      </c>
      <c r="H6" s="20">
        <f>('Proforma Balance Sheet'!J10/'Proforma Income Statement'!L9)*365</f>
        <v>62.66278223768235</v>
      </c>
      <c r="J6" s="20">
        <f>('Competitor Balance Sheet'!B10/'Competitor Income Statement'!B9)*365</f>
        <v>97.761101514073772</v>
      </c>
      <c r="K6" s="20">
        <f>('Competitor Balance Sheet'!E10/'Competitor Income Statement'!E9)*365</f>
        <v>94.724592467097779</v>
      </c>
      <c r="L6" s="20">
        <f>('Competitor Balance Sheet'!H10/'Competitor Income Statement'!H9)*365</f>
        <v>90.038865432499733</v>
      </c>
      <c r="N6" s="20">
        <f>('Proforma Balance Sheet'!D10/'Proforma Income Statement'!F9)*365</f>
        <v>66.245561476774611</v>
      </c>
      <c r="O6" s="20">
        <f>('Proforma Balance Sheet'!H10/'Proforma Income Statement'!J9)*365</f>
        <v>65.30960529036139</v>
      </c>
      <c r="P6" s="20">
        <f>('Proforma Balance Sheet'!K10/'Proforma Income Statement'!M9)*365</f>
        <v>63.274335921538409</v>
      </c>
    </row>
    <row r="7" spans="1:16">
      <c r="A7" t="s">
        <v>119</v>
      </c>
      <c r="B7" s="20">
        <f>'Historical Income Statement '!B8/'Historical Balance Sheet'!B18</f>
        <v>2.1513193848075574</v>
      </c>
      <c r="C7" s="20">
        <f>'Historical Income Statement '!E8/'Historical Balance Sheet'!E18</f>
        <v>2.4589914324023363</v>
      </c>
      <c r="D7" s="20">
        <f>'Historical Income Statement '!H8/'Historical Balance Sheet'!H18</f>
        <v>2.266028880055694</v>
      </c>
      <c r="F7" s="20">
        <f>'Proforma Income Statement'!D8/'Proforma Balance Sheet'!D18</f>
        <v>2.3016691094498927</v>
      </c>
      <c r="G7" s="20">
        <f>'Proforma Income Statement'!H8/'Proforma Balance Sheet'!G18</f>
        <v>2.3254227225139501</v>
      </c>
      <c r="H7" s="20">
        <f>'Proforma Income Statement'!L8/'Proforma Balance Sheet'!J18</f>
        <v>2.4296160170372163</v>
      </c>
      <c r="J7" s="20">
        <f>'Competitor Income Statement'!B8/'Competitor Balance Sheet'!B20</f>
        <v>1.8278736287400876</v>
      </c>
      <c r="K7" s="20">
        <f>'Competitor Income Statement'!E8/'Competitor Balance Sheet'!E20</f>
        <v>2.066448359800626</v>
      </c>
      <c r="L7" s="20">
        <f>'Competitor Income Statement'!H8/'Competitor Balance Sheet'!H20</f>
        <v>1.944376753279873</v>
      </c>
      <c r="N7" s="20">
        <f>'Proforma Income Statement'!F8/'Proforma Balance Sheet'!E18</f>
        <v>2.2947118827240929</v>
      </c>
      <c r="O7" s="20">
        <f>'Proforma Income Statement'!J8/'Proforma Balance Sheet'!H18</f>
        <v>2.2995074116694383</v>
      </c>
      <c r="P7" s="20">
        <f>'Proforma Income Statement'!M8/'Proforma Balance Sheet'!K18</f>
        <v>2.3632717915555155</v>
      </c>
    </row>
    <row r="8" spans="1:16">
      <c r="A8" t="s">
        <v>120</v>
      </c>
      <c r="B8" s="20">
        <f>'Historical Income Statement '!B8/SUM('Historical Balance Sheet'!B14:B17)</f>
        <v>3.5074460637688536</v>
      </c>
      <c r="C8" s="20">
        <f>'Historical Income Statement '!E8/SUM('Historical Balance Sheet'!E14:E17)</f>
        <v>4.2475857737300773</v>
      </c>
      <c r="D8" s="20">
        <f>'Historical Income Statement '!H8/SUM('Historical Balance Sheet'!H14:H17)</f>
        <v>3.9421784653852163</v>
      </c>
      <c r="F8" s="20">
        <f>'Proforma Income Statement'!D8/SUM('Proforma Balance Sheet'!D14:D17)</f>
        <v>4.1766009336640382</v>
      </c>
      <c r="G8" s="20">
        <f>'Proforma Income Statement'!H8/SUM('Proforma Balance Sheet'!G14:G17)</f>
        <v>4.1502662973282041</v>
      </c>
      <c r="H8" s="20">
        <f>'Proforma Income Statement'!L8/SUM('Proforma Balance Sheet'!J14:J17)</f>
        <v>4.3749745894486924</v>
      </c>
      <c r="J8" s="84">
        <f>'Competitor Income Statement'!B8/SUM('Competitor Balance Sheet'!B14:B19)</f>
        <v>2.9871237527429306</v>
      </c>
      <c r="K8" s="84">
        <f>'Competitor Income Statement'!E8/SUM('Competitor Balance Sheet'!E14:E19)</f>
        <v>3.5162228796844182</v>
      </c>
      <c r="L8" s="84">
        <f>'Competitor Income Statement'!H8/SUM('Competitor Balance Sheet'!H14:H19)</f>
        <v>3.047160175851503</v>
      </c>
      <c r="N8" s="84">
        <f>'Proforma Income Statement'!F8/'Proforma Balance Sheet'!E18</f>
        <v>2.2947118827240929</v>
      </c>
      <c r="O8" s="84">
        <f>'Proforma Income Statement'!J8/'Proforma Balance Sheet'!H18</f>
        <v>2.2995074116694383</v>
      </c>
      <c r="P8" s="84">
        <f>'Proforma Income Statement'!M8/'Proforma Balance Sheet'!K18</f>
        <v>2.3632717915555155</v>
      </c>
    </row>
    <row r="9" spans="1:16">
      <c r="A9" t="s">
        <v>121</v>
      </c>
      <c r="B9" s="20">
        <f>'Historical Income Statement '!B8/(('Historical Balance Sheet'!B9+'Historical Balance Sheet'!E9)/2)</f>
        <v>54.539831766452252</v>
      </c>
      <c r="C9" s="20">
        <f>'Historical Income Statement '!E8/(('Historical Balance Sheet'!E9+'Historical Balance Sheet'!H9)/2)</f>
        <v>55.659979423868315</v>
      </c>
      <c r="D9" s="20">
        <f>'Historical Income Statement '!H8/(('Historical Balance Sheet'!H8+2029)/2)</f>
        <v>35.883357041251777</v>
      </c>
      <c r="F9" s="20">
        <f>'Proforma Income Statement'!D8/(('Proforma Balance Sheet'!D9+'Proforma Balance Sheet'!G9)/2)</f>
        <v>57.989616692257073</v>
      </c>
      <c r="G9" s="20">
        <f>'Proforma Income Statement'!H8/(('Proforma Balance Sheet'!G9+'Proforma Balance Sheet'!J9)/2)</f>
        <v>59.388336202173306</v>
      </c>
      <c r="H9" s="20">
        <f>'Proforma Income Statement'!L8/(('Proforma Balance Sheet'!J9+2029)/2)</f>
        <v>61.025175672505647</v>
      </c>
      <c r="J9">
        <v>0</v>
      </c>
      <c r="K9">
        <v>0</v>
      </c>
      <c r="L9">
        <v>0</v>
      </c>
      <c r="N9" s="20">
        <f>'Proforma Income Statement'!F8/(('Proforma Balance Sheet'!E9+'Proforma Balance Sheet'!H9)/2)</f>
        <v>57.882106115469597</v>
      </c>
      <c r="O9" s="20">
        <f>'Proforma Income Statement'!J8/(('Proforma Balance Sheet'!H9+'Proforma Balance Sheet'!K9)/2)</f>
        <v>59.288675754195644</v>
      </c>
      <c r="P9" s="20">
        <f>'Proforma Income Statement'!M8/(('Proforma Balance Sheet'!K9+2029)/2)</f>
        <v>61.374483018292786</v>
      </c>
    </row>
    <row r="10" spans="1:16">
      <c r="A10" t="s">
        <v>122</v>
      </c>
      <c r="B10" s="20">
        <f>((('Historical Balance Sheet'!B9+'Historical Balance Sheet'!E9)/2)/'Historical Income Statement '!B8)*365</f>
        <v>6.6923565434338856</v>
      </c>
      <c r="C10" s="20">
        <f>((('Historical Balance Sheet'!E9+'Historical Balance Sheet'!H9)/2)/'Historical Income Statement '!E8)*365</f>
        <v>6.5576740016450552</v>
      </c>
      <c r="D10" s="20">
        <f>(((2029+'Historical Balance Sheet'!H9)/2)/'Historical Income Statement '!H8)*365</f>
        <v>7.200234876714501</v>
      </c>
      <c r="F10" s="20">
        <f>((('Proforma Balance Sheet'!B9+'Proforma Balance Sheet'!D9)/2)/('Proforma Income Statement'!D8)*365)</f>
        <v>6.2303767479986858</v>
      </c>
      <c r="G10" s="20">
        <f>((('Proforma Balance Sheet'!G9+'Proforma Balance Sheet'!D9)/2)/('Proforma Income Statement'!H8)*365)</f>
        <v>6.140712446253449</v>
      </c>
      <c r="H10" s="20">
        <f>((('Proforma Balance Sheet'!J9+'Proforma Balance Sheet'!G9)/2)/('Proforma Income Statement'!L8)*365)</f>
        <v>5.9960858267414867</v>
      </c>
      <c r="J10">
        <v>0</v>
      </c>
      <c r="K10">
        <v>0</v>
      </c>
      <c r="L10">
        <v>0</v>
      </c>
      <c r="N10" s="20">
        <f>((('Proforma Balance Sheet'!B9+'Proforma Balance Sheet'!E9)/2)/'Proforma Income Statement'!F8)*365</f>
        <v>6.218040549878749</v>
      </c>
      <c r="O10" s="20">
        <f>((('Proforma Balance Sheet'!E9+'Proforma Balance Sheet'!H9)/2)/'Proforma Income Statement'!J8)*365</f>
        <v>6.1290346281376493</v>
      </c>
      <c r="P10" s="20">
        <f>((('Proforma Balance Sheet'!H9+'Proforma Balance Sheet'!K9)/2)/'Proforma Income Statement'!M8)*365</f>
        <v>5.9848184313181347</v>
      </c>
    </row>
    <row r="11" spans="1:16">
      <c r="A11" s="112" t="s">
        <v>123</v>
      </c>
    </row>
    <row r="12" spans="1:16">
      <c r="A12" t="s">
        <v>124</v>
      </c>
      <c r="B12" s="20">
        <f>'Historical Balance Sheet'!B36/'Historical Balance Sheet'!B18</f>
        <v>1.0608166133187602</v>
      </c>
      <c r="C12" s="20">
        <f>'Historical Balance Sheet'!E36/'Historical Balance Sheet'!E18</f>
        <v>1.0426789082562553</v>
      </c>
      <c r="D12" s="20">
        <f>'Historical Balance Sheet'!H36/'Historical Balance Sheet'!H18</f>
        <v>0.96734712210020435</v>
      </c>
      <c r="F12" s="20">
        <f>'Proforma Balance Sheet'!D36/'Proforma Balance Sheet'!D18</f>
        <v>0.96639101740651734</v>
      </c>
      <c r="G12" s="20">
        <f>'Proforma Balance Sheet'!G36/'Proforma Balance Sheet'!G18</f>
        <v>0.97477497062657814</v>
      </c>
      <c r="H12" s="20">
        <f>'Proforma Balance Sheet'!J36/'Proforma Balance Sheet'!J18</f>
        <v>0.96824248656268996</v>
      </c>
      <c r="J12" s="20">
        <f>'Competitor Balance Sheet'!B35/'Competitor Balance Sheet'!B20</f>
        <v>0.95003926933698157</v>
      </c>
      <c r="K12" s="20">
        <f>'Competitor Balance Sheet'!E35/'Competitor Balance Sheet'!E20</f>
        <v>0.89440129824968129</v>
      </c>
      <c r="L12" s="20">
        <f>'Competitor Balance Sheet'!H35/'Competitor Balance Sheet'!H20</f>
        <v>0.83358363322093454</v>
      </c>
      <c r="N12" s="20">
        <f>'Proforma Balance Sheet'!E36/'Proforma Balance Sheet'!E18</f>
        <v>0.96124486277870491</v>
      </c>
      <c r="O12" s="20">
        <f>'Proforma Balance Sheet'!H36/'Proforma Balance Sheet'!H18</f>
        <v>0.95946980326597386</v>
      </c>
      <c r="P12" s="20">
        <f>'Proforma Balance Sheet'!K36/'Proforma Balance Sheet'!K18</f>
        <v>0.93545800936773205</v>
      </c>
    </row>
    <row r="13" spans="1:16">
      <c r="A13" t="s">
        <v>125</v>
      </c>
      <c r="B13" s="20">
        <f>'Historical Balance Sheet'!B36/'Historical Balance Sheet'!B43</f>
        <v>-17.442875481386391</v>
      </c>
      <c r="C13" s="20">
        <f>'Historical Balance Sheet'!E36/'Historical Balance Sheet'!E43</f>
        <v>-24.430777422790204</v>
      </c>
      <c r="D13" s="20">
        <f>'Historical Balance Sheet'!H36/'Historical Balance Sheet'!H43</f>
        <v>29.625171939477305</v>
      </c>
      <c r="F13" s="20">
        <f>'Proforma Balance Sheet'!D36/'Proforma Balance Sheet'!D43</f>
        <v>28.753595549574236</v>
      </c>
      <c r="G13" s="20">
        <f>'Proforma Balance Sheet'!G36/'Proforma Balance Sheet'!G43</f>
        <v>38.642330954246923</v>
      </c>
      <c r="H13" s="20">
        <f>'Proforma Balance Sheet'!J36/'Proforma Balance Sheet'!J43</f>
        <v>30.479692156404443</v>
      </c>
      <c r="J13" s="20">
        <f>'Competitor Balance Sheet'!B35/'Competitor Balance Sheet'!B43</f>
        <v>19.015720081135903</v>
      </c>
      <c r="K13" s="20">
        <f>'Competitor Balance Sheet'!E35/'Competitor Balance Sheet'!E43</f>
        <v>8.4698133918770591</v>
      </c>
      <c r="L13" s="20">
        <f>'Competitor Balance Sheet'!H35/'Competitor Balance Sheet'!H43</f>
        <v>5.0090243487144557</v>
      </c>
      <c r="N13" s="20">
        <f>'Proforma Balance Sheet'!E36/'Proforma Balance Sheet'!E43</f>
        <v>24.80660773535838</v>
      </c>
      <c r="O13" s="20">
        <f>'Proforma Balance Sheet'!H36/'Proforma Balance Sheet'!H43</f>
        <v>23.671826696467782</v>
      </c>
      <c r="P13" s="20">
        <f>'Proforma Balance Sheet'!K36/'Proforma Balance Sheet'!K43</f>
        <v>14.493765206147373</v>
      </c>
    </row>
    <row r="14" spans="1:16">
      <c r="A14" t="s">
        <v>126</v>
      </c>
      <c r="B14" s="20">
        <f>SUM('Historical Balance Sheet'!B32:B35)/'Historical Balance Sheet'!B43</f>
        <v>-11.54589216944801</v>
      </c>
      <c r="C14" s="20">
        <f>SUM('Historical Balance Sheet'!E32:E35)/'Historical Balance Sheet'!E43</f>
        <v>-15.529818956336529</v>
      </c>
      <c r="D14" s="20">
        <f>SUM('Historical Balance Sheet'!H32:H35)/'Historical Balance Sheet'!H43</f>
        <v>18.487620357634114</v>
      </c>
      <c r="F14" s="20">
        <f>SUM('Proforma Balance Sheet'!D32:D35)/'Proforma Balance Sheet'!D43</f>
        <v>18.615004464185397</v>
      </c>
      <c r="G14" s="20">
        <f>SUM('Proforma Balance Sheet'!G32:G35)/'Proforma Balance Sheet'!G43</f>
        <v>25.154273696440089</v>
      </c>
      <c r="H14" s="20">
        <f>SUM('Proforma Balance Sheet'!J32:J35)/'Proforma Balance Sheet'!J43</f>
        <v>19.717606304203358</v>
      </c>
      <c r="J14" s="20">
        <f>SUM('Competitor Balance Sheet'!B31:B34)/'Competitor Balance Sheet'!B43</f>
        <v>11.316937119675456</v>
      </c>
      <c r="K14" s="20">
        <f>SUM('Competitor Balance Sheet'!E31:E34)/'Competitor Balance Sheet'!E43</f>
        <v>4.4914928649835346</v>
      </c>
      <c r="L14" s="20">
        <f>SUM('Competitor Balance Sheet'!H31:H34)/'Competitor Balance Sheet'!H43</f>
        <v>2.9494295930529542</v>
      </c>
      <c r="N14" s="20" cm="1">
        <f t="array" ref="N14">SUM('Proforma Balance Sheet'!E32:E35/'Proforma Balance Sheet'!E43)</f>
        <v>16.041311452059094</v>
      </c>
      <c r="O14" s="20" cm="1">
        <f t="array" ref="O14">SUM('Proforma Balance Sheet'!H32:H35/'Proforma Balance Sheet'!H43)</f>
        <v>15.376598086095781</v>
      </c>
      <c r="P14" s="20">
        <f>SUM('Proforma Balance Sheet'!K32:K35)/'Proforma Balance Sheet'!K43</f>
        <v>9.3473210892225165</v>
      </c>
    </row>
    <row r="15" spans="1:16">
      <c r="A15" t="s">
        <v>127</v>
      </c>
      <c r="B15" s="101">
        <f>('Historical Income Statement '!B13+'Historical Income Statement '!B16)/'Historical Income Statement '!B23</f>
        <v>5.1344658796429599</v>
      </c>
      <c r="C15" s="101">
        <f>('Historical Income Statement '!E13+'Historical Income Statement '!E16)/'Historical Income Statement '!E23</f>
        <v>5.0655021834061138</v>
      </c>
      <c r="D15" s="101">
        <f>('Historical Income Statement '!H13+'Historical Income Statement '!H16)/'Historical Income Statement '!H23</f>
        <v>3.2541436464088398</v>
      </c>
      <c r="F15" s="20">
        <f>('Proforma Income Statement'!D13+'Proforma Income Statement'!D16)/'Proforma Income Statement'!D23</f>
        <v>6.1873536155169555</v>
      </c>
      <c r="G15" s="20">
        <f>('Proforma Income Statement'!H13+'Proforma Income Statement'!H16)/'Proforma Income Statement'!H23</f>
        <v>6.1873536155169546</v>
      </c>
      <c r="H15" s="20">
        <f>('Proforma Income Statement'!L13+'Proforma Income Statement'!L16)/'Proforma Income Statement'!L23</f>
        <v>6.2505856805396256</v>
      </c>
      <c r="J15" s="20">
        <f>('Competitor Income Statement'!B14+'Competitor Income Statement'!B13)/'Competitor Income Statement'!B18</f>
        <v>5.6453055141579735</v>
      </c>
      <c r="K15" s="20">
        <f>('Competitor Income Statement'!E14+'Competitor Income Statement'!E13)/'Competitor Income Statement'!E18</f>
        <v>5.0879629629629628</v>
      </c>
      <c r="L15" s="20">
        <f>('Competitor Income Statement'!H14+'Competitor Income Statement'!H13)/'Competitor Income Statement'!H18</f>
        <v>3.9128305582762</v>
      </c>
      <c r="N15" s="20">
        <f>('Proforma Income Statement'!F13+'Proforma Income Statement'!F16)/'Proforma Income Statement'!F23</f>
        <v>6.1547506033577015</v>
      </c>
      <c r="O15" s="20">
        <f>('Proforma Income Statement'!J13+'Proforma Income Statement'!J16)/'Proforma Income Statement'!J23</f>
        <v>6.12475729875365</v>
      </c>
      <c r="P15" s="20">
        <f>('Proforma Income Statement'!M13+'Proforma Income Statement'!M16)/'Proforma Income Statement'!M23</f>
        <v>6.0971953068044193</v>
      </c>
    </row>
    <row r="16" spans="1:16" ht="15.75">
      <c r="A16" s="112" t="s">
        <v>128</v>
      </c>
    </row>
    <row r="17" spans="1:17" ht="15.75">
      <c r="A17" t="s">
        <v>129</v>
      </c>
      <c r="B17" s="7">
        <f>('Historical Income Statement '!B8-'Historical Income Statement '!B9)/'Historical Income Statement '!B8</f>
        <v>0.34086640961669312</v>
      </c>
      <c r="C17" s="7">
        <f>('Historical Income Statement '!E8-'Historical Income Statement '!E9)/'Historical Income Statement '!E8</f>
        <v>0.34342855558533497</v>
      </c>
      <c r="D17" s="7">
        <f>('Historical Income Statement '!H8-'Historical Income Statement '!H9)/'Historical Income Statement '!H8</f>
        <v>0.34048204233727108</v>
      </c>
      <c r="E17" s="20"/>
      <c r="F17" s="7">
        <f>('Proforma Income Statement'!D8-'Proforma Income Statement'!D9)/'Proforma Income Statement'!D8</f>
        <v>0.34086640961669312</v>
      </c>
      <c r="G17" s="7">
        <f>('Proforma Income Statement'!H8-'Proforma Income Statement'!H9)/'Proforma Income Statement'!H8</f>
        <v>0.34086640961669312</v>
      </c>
      <c r="H17" s="7">
        <f>('Proforma Income Statement'!L8-'Proforma Income Statement'!L9)/'Proforma Income Statement'!L8</f>
        <v>0.34086640961669312</v>
      </c>
      <c r="J17" s="7">
        <f>('Competitor Income Statement'!B8-'Competitor Income Statement'!B9)/'Competitor Income Statement'!B8</f>
        <v>0.31799911293452349</v>
      </c>
      <c r="K17" s="7">
        <f>('Competitor Income Statement'!E8-'Competitor Income Statement'!E9)/'Competitor Income Statement'!E8</f>
        <v>0.3212497721185264</v>
      </c>
      <c r="L17" s="7">
        <f>('Competitor Income Statement'!H8-'Competitor Income Statement'!H9)/'Competitor Income Statement'!H8</f>
        <v>0.32693568836619596</v>
      </c>
      <c r="N17" s="7">
        <f>('Proforma Income Statement'!F8-'Proforma Income Statement'!F9)/'Proforma Income Statement'!F8</f>
        <v>0.34314284520246485</v>
      </c>
      <c r="O17" s="7">
        <f>('Proforma Income Statement'!J8-'Proforma Income Statement'!J9)/'Proforma Income Statement'!J8</f>
        <v>0.34529156879438494</v>
      </c>
      <c r="P17" s="7">
        <f>('Proforma Income Statement'!M8-'Proforma Income Statement'!M9)/'Proforma Income Statement'!M8</f>
        <v>0.3473192366102904</v>
      </c>
      <c r="Q17" s="7"/>
    </row>
    <row r="18" spans="1:17" ht="15.75">
      <c r="A18" t="s">
        <v>130</v>
      </c>
      <c r="B18" s="7">
        <f>'Historical Income Statement '!B16/'Historical Income Statement '!B8</f>
        <v>0.14373327285098661</v>
      </c>
      <c r="C18" s="7">
        <f>'Historical Income Statement '!E16/'Historical Income Statement '!E8</f>
        <v>0.14352651959742335</v>
      </c>
      <c r="D18" s="7">
        <f>'Historical Income Statement '!H16/'Historical Income Statement '!H8</f>
        <v>0.14549472766193611</v>
      </c>
      <c r="E18" s="20"/>
      <c r="F18" s="7">
        <f>'Proforma Income Statement'!D16/'Proforma Income Statement'!D8</f>
        <v>0.14709052288151853</v>
      </c>
      <c r="G18" s="7">
        <f>'Proforma Income Statement'!H16/'Proforma Income Statement'!H8</f>
        <v>0.14709052288151855</v>
      </c>
      <c r="H18" s="7">
        <f>'Proforma Income Statement'!L16/'Proforma Income Statement'!L8</f>
        <v>0.14709052288151855</v>
      </c>
      <c r="J18" s="7">
        <f>'Competitor Income Statement'!B14/'Competitor Income Statement'!B8</f>
        <v>8.7514553417974164E-2</v>
      </c>
      <c r="K18" s="7">
        <f>'Competitor Income Statement'!E14/'Competitor Income Statement'!E8</f>
        <v>5.6346323745950722E-2</v>
      </c>
      <c r="L18" s="7">
        <f>'Competitor Income Statement'!H14/'Competitor Income Statement'!H8</f>
        <v>9.5979247730220499E-2</v>
      </c>
      <c r="N18" s="7">
        <f>'Proforma Income Statement'!F16/'Proforma Income Statement'!F8</f>
        <v>0.1494727969525019</v>
      </c>
      <c r="O18" s="7">
        <f>'Proforma Income Statement'!J16/'Proforma Income Statement'!J8</f>
        <v>0.15176323507458325</v>
      </c>
      <c r="P18" s="7">
        <f>'Proforma Income Statement'!M16/'Proforma Income Statement'!M8</f>
        <v>0.15392897028891436</v>
      </c>
      <c r="Q18" s="7"/>
    </row>
    <row r="19" spans="1:17" ht="15.75">
      <c r="A19" t="s">
        <v>131</v>
      </c>
      <c r="B19" s="7">
        <f>'Historical Income Statement '!B24/'Historical Income Statement '!B8</f>
        <v>0.10199138126559311</v>
      </c>
      <c r="C19" s="7">
        <f>'Historical Income Statement '!E24/'Historical Income Statement '!E8</f>
        <v>0.10277903570141309</v>
      </c>
      <c r="D19" s="7">
        <f>'Historical Income Statement '!H24/'Historical Income Statement '!H8</f>
        <v>8.5526837389994448E-2</v>
      </c>
      <c r="E19" s="20"/>
      <c r="F19" s="7">
        <f>'Proforma Income Statement'!D24/'Proforma Income Statement'!D8</f>
        <v>0.10045492218713468</v>
      </c>
      <c r="G19" s="7">
        <f>'Proforma Income Statement'!H24/'Proforma Income Statement'!H8</f>
        <v>0.10045492218713471</v>
      </c>
      <c r="H19" s="7">
        <f>'Proforma Income Statement'!L24/'Proforma Income Statement'!L8</f>
        <v>9.9438701868555537E-2</v>
      </c>
      <c r="J19" s="7">
        <f>'Competitor Income Statement'!B19/'Competitor Income Statement'!B8</f>
        <v>5.9336364140378114E-2</v>
      </c>
      <c r="K19" s="7">
        <f>'Competitor Income Statement'!E19/'Competitor Income Statement'!E8</f>
        <v>3.2450321838758081E-2</v>
      </c>
      <c r="L19" s="7">
        <f>'Competitor Income Statement'!H19/'Competitor Income Statement'!H8</f>
        <v>5.023390023171425E-2</v>
      </c>
      <c r="N19" s="7">
        <f>'Proforma Income Statement'!F24/'Proforma Income Statement'!F8</f>
        <v>0.1023992659870864</v>
      </c>
      <c r="O19" s="7">
        <f>'Proforma Income Statement'!J24/'Proforma Income Statement'!J8</f>
        <v>0.10426756159639201</v>
      </c>
      <c r="P19" s="7">
        <f>'Proforma Income Statement'!M24/'Proforma Income Statement'!M8</f>
        <v>0.10603402641883335</v>
      </c>
      <c r="Q19" s="7"/>
    </row>
    <row r="20" spans="1:17" ht="15.75">
      <c r="A20" t="s">
        <v>132</v>
      </c>
      <c r="B20" s="7">
        <f>'Historical Income Statement '!B16/'Historical Balance Sheet'!B18</f>
        <v>0.30921617612616131</v>
      </c>
      <c r="C20" s="7">
        <f>'Historical Income Statement '!E16/'Historical Balance Sheet'!E18</f>
        <v>0.35293048201259003</v>
      </c>
      <c r="D20" s="7">
        <f>'Historical Income Statement '!H16/'Historical Balance Sheet'!H18</f>
        <v>0.32969525477778527</v>
      </c>
      <c r="F20" s="7">
        <f>'Proforma Income Statement'!D16/'Proforma Balance Sheet'!D18</f>
        <v>0.33855371280922386</v>
      </c>
      <c r="G20" s="7">
        <f>'Proforma Income Statement'!D16/'Proforma Balance Sheet'!D18</f>
        <v>0.33855371280922386</v>
      </c>
      <c r="H20" s="7">
        <f>'Proforma Income Statement'!L16/'Proforma Balance Sheet'!J18</f>
        <v>0.35737349034731664</v>
      </c>
      <c r="J20" s="7">
        <f>'Competitor Income Statement'!B14/'Competitor Balance Sheet'!B20</f>
        <v>0.15996554432368068</v>
      </c>
      <c r="K20" s="7">
        <f>'Competitor Income Statement'!E14/'Competitor Balance Sheet'!E20</f>
        <v>0.11643676828561493</v>
      </c>
      <c r="L20" s="7">
        <f>'Competitor Income Statement'!H14/'Competitor Balance Sheet'!H20</f>
        <v>0.18661981808393074</v>
      </c>
      <c r="N20" s="7">
        <f>'Proforma Income Statement'!F16/'Proforma Balance Sheet'!E18</f>
        <v>0.34299700331091171</v>
      </c>
      <c r="O20" s="7">
        <f>'Proforma Income Statement'!J16/'Proforma Balance Sheet'!H18</f>
        <v>0.34898068387293552</v>
      </c>
      <c r="P20" s="7">
        <f>'Proforma Income Statement'!F16/'Proforma Balance Sheet'!K18</f>
        <v>0.33377148660342143</v>
      </c>
      <c r="Q20" s="7"/>
    </row>
    <row r="21" spans="1:17" ht="15.75">
      <c r="A21" t="s">
        <v>133</v>
      </c>
      <c r="B21" s="7">
        <f>'Historical Income Statement '!B24/'Historical Balance Sheet'!B43</f>
        <v>-3.6078305519897302</v>
      </c>
      <c r="C21" s="7">
        <f>'Historical Income Statement '!E24/'Historical Balance Sheet'!E43</f>
        <v>-5.9217252396166131</v>
      </c>
      <c r="D21" s="7">
        <f>'Historical Income Statement '!H24/'Historical Balance Sheet'!H43</f>
        <v>5.9353507565337003</v>
      </c>
      <c r="F21" s="7">
        <f>'Proforma Income Statement'!D24/'Proforma Balance Sheet'!D43</f>
        <v>6.8794447291184246</v>
      </c>
      <c r="G21" s="7">
        <f>'Proforma Income Statement'!H24/'Proforma Balance Sheet'!G43</f>
        <v>9.2604497583880843</v>
      </c>
      <c r="H21" s="7">
        <f>'Proforma Income Statement'!L24/'Proforma Balance Sheet'!J43</f>
        <v>7.6053556677886496</v>
      </c>
      <c r="J21" s="7">
        <f>'Competitor Income Statement'!B19/'Competitor Balance Sheet'!B43</f>
        <v>2.170892494929006</v>
      </c>
      <c r="K21" s="7">
        <f>'Competitor Income Statement'!E19/'Competitor Balance Sheet'!E43</f>
        <v>0.63501646542261247</v>
      </c>
      <c r="L21" s="7">
        <f>'Competitor Income Statement'!H19/'Competitor Balance Sheet'!H43</f>
        <v>0.58692320790056185</v>
      </c>
      <c r="N21" s="7">
        <f>'Proforma Income Statement'!F24/'Proforma Balance Sheet'!E43</f>
        <v>6.0639883123257379</v>
      </c>
      <c r="O21" s="7">
        <f>'Proforma Income Statement'!J24/'Proforma Balance Sheet'!H43</f>
        <v>5.9154051155794232</v>
      </c>
      <c r="P21" s="7">
        <f>'Proforma Income Statement'!M24/'Proforma Balance Sheet'!K43</f>
        <v>3.8825391902877122</v>
      </c>
      <c r="Q21" s="7"/>
    </row>
    <row r="22" spans="1:17" ht="15.75">
      <c r="A22" s="112" t="s">
        <v>134</v>
      </c>
    </row>
    <row r="23" spans="1:17" ht="15.75">
      <c r="A23" t="s">
        <v>135</v>
      </c>
      <c r="B23" s="97">
        <f>'Historical Income Statement '!B26</f>
        <v>10.29</v>
      </c>
      <c r="C23" s="98">
        <f>'Historical Income Statement '!E26</f>
        <v>9.7799999999999994</v>
      </c>
      <c r="D23" s="98">
        <f>'Historical Income Statement '!H26</f>
        <v>7.33</v>
      </c>
      <c r="F23" s="20">
        <f>'Proforma Income Statement'!D24/'Historical Balance Sheet'!B46</f>
        <v>10.959552728644379</v>
      </c>
      <c r="G23" s="20">
        <f>'Proforma Income Statement'!H24/'Historical Balance Sheet'!B46</f>
        <v>11.233541546860492</v>
      </c>
      <c r="H23" s="199">
        <f>'Proforma Income Statement'!L24/'Historical Balance Sheet'!B46</f>
        <v>11.397898516047899</v>
      </c>
      <c r="J23" s="97">
        <f>'Competitor Income Statement'!B20</f>
        <v>5.49</v>
      </c>
      <c r="K23" s="97">
        <f>'Competitor Income Statement'!E20</f>
        <v>2.84</v>
      </c>
      <c r="L23" s="97">
        <f>'Competitor Income Statement'!H20</f>
        <v>4.09</v>
      </c>
      <c r="N23" s="199">
        <f>'Proforma Income Statement'!F24/'Historical Balance Sheet'!B46</f>
        <v>11.216088247678739</v>
      </c>
      <c r="O23" s="199">
        <f>'Proforma Income Statement'!J24/'Historical Balance Sheet'!B46</f>
        <v>11.750335194028553</v>
      </c>
      <c r="P23" s="199">
        <f>'Proforma Income Statement'!M24/'Historical Balance Sheet'!B46</f>
        <v>12.29182664077806</v>
      </c>
    </row>
    <row r="24" spans="1:17" ht="15.75">
      <c r="A24" t="s">
        <v>136</v>
      </c>
      <c r="B24">
        <v>22.38</v>
      </c>
      <c r="C24">
        <v>18.84</v>
      </c>
      <c r="D24">
        <v>28.27</v>
      </c>
      <c r="F24" t="s">
        <v>137</v>
      </c>
      <c r="G24" t="s">
        <v>137</v>
      </c>
      <c r="H24" t="s">
        <v>137</v>
      </c>
      <c r="J24" s="20">
        <f>119.6/J23</f>
        <v>21.785063752276866</v>
      </c>
      <c r="K24" s="20">
        <f>93.87/K23</f>
        <v>33.052816901408455</v>
      </c>
      <c r="L24" s="20">
        <f>94.74/L23</f>
        <v>23.163814180929094</v>
      </c>
      <c r="N24" t="s">
        <v>137</v>
      </c>
      <c r="O24" t="s">
        <v>137</v>
      </c>
      <c r="P24" t="s">
        <v>137</v>
      </c>
    </row>
    <row r="25" spans="1:17" ht="15.75">
      <c r="E25" s="97"/>
    </row>
    <row r="26" spans="1:17" ht="15.75"/>
    <row r="27" spans="1:17" ht="15.75"/>
    <row r="28" spans="1:17" ht="15.75"/>
    <row r="29" spans="1:17" ht="15.75"/>
  </sheetData>
  <mergeCells count="4">
    <mergeCell ref="J1:L1"/>
    <mergeCell ref="B1:D1"/>
    <mergeCell ref="F1:H1"/>
    <mergeCell ref="N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749B-E6D5-2640-842B-08F10A6D27E3}">
  <dimension ref="A1:N24"/>
  <sheetViews>
    <sheetView workbookViewId="0">
      <pane xSplit="1" topLeftCell="B1" activePane="topRight" state="frozen"/>
      <selection pane="topRight" activeCell="P17" sqref="P17"/>
    </sheetView>
  </sheetViews>
  <sheetFormatPr defaultColWidth="11" defaultRowHeight="15.75"/>
  <cols>
    <col min="1" max="1" width="35.25" customWidth="1"/>
    <col min="2" max="2" width="24.625" customWidth="1"/>
    <col min="3" max="3" width="9.875" customWidth="1"/>
    <col min="4" max="4" width="21.625" customWidth="1"/>
    <col min="5" max="5" width="9.375" customWidth="1"/>
    <col min="6" max="6" width="20.875" customWidth="1"/>
    <col min="7" max="7" width="6.75" style="50" hidden="1" customWidth="1"/>
    <col min="8" max="8" width="21.625" customWidth="1"/>
    <col min="9" max="9" width="9.625" customWidth="1"/>
    <col min="10" max="10" width="19.625" customWidth="1"/>
    <col min="11" max="11" width="7.875" style="50" hidden="1" customWidth="1"/>
    <col min="12" max="12" width="21.875" customWidth="1"/>
    <col min="13" max="13" width="22.5" customWidth="1"/>
    <col min="14" max="14" width="0" hidden="1" customWidth="1"/>
  </cols>
  <sheetData>
    <row r="1" spans="1:14">
      <c r="A1" s="224" t="s">
        <v>138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4">
      <c r="A2" s="224" t="s">
        <v>139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4">
      <c r="A3" s="224" t="s">
        <v>140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4">
      <c r="A4" s="224" t="s">
        <v>141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</row>
    <row r="5" spans="1:14">
      <c r="A5" s="5"/>
      <c r="B5" s="170" t="s">
        <v>142</v>
      </c>
      <c r="C5" s="115"/>
      <c r="D5" s="223" t="s">
        <v>143</v>
      </c>
      <c r="E5" s="223"/>
      <c r="F5" s="223"/>
      <c r="H5" s="223" t="s">
        <v>144</v>
      </c>
      <c r="I5" s="223"/>
      <c r="J5" s="223"/>
      <c r="L5" s="223" t="s">
        <v>145</v>
      </c>
      <c r="M5" s="223"/>
    </row>
    <row r="6" spans="1:14">
      <c r="A6" s="5"/>
      <c r="C6" s="170" t="s">
        <v>146</v>
      </c>
      <c r="D6" s="116" t="s">
        <v>147</v>
      </c>
      <c r="E6" s="116" t="s">
        <v>146</v>
      </c>
      <c r="F6" s="116" t="s">
        <v>148</v>
      </c>
      <c r="H6" s="116" t="s">
        <v>147</v>
      </c>
      <c r="I6" s="170" t="s">
        <v>146</v>
      </c>
      <c r="J6" s="116" t="s">
        <v>149</v>
      </c>
      <c r="L6" s="116" t="s">
        <v>147</v>
      </c>
      <c r="M6" s="116" t="s">
        <v>148</v>
      </c>
    </row>
    <row r="7" spans="1:14">
      <c r="A7" s="4" t="s">
        <v>10</v>
      </c>
      <c r="B7" s="180"/>
      <c r="C7" s="171"/>
      <c r="D7" s="117"/>
      <c r="E7" s="50"/>
      <c r="F7" s="118"/>
      <c r="G7" s="208">
        <f>F8-D8</f>
        <v>467.08000000000175</v>
      </c>
      <c r="H7" s="117"/>
      <c r="I7" s="194"/>
      <c r="J7" s="118"/>
      <c r="K7" s="208">
        <f>J8-H8</f>
        <v>934.16000000000349</v>
      </c>
      <c r="L7" s="117"/>
      <c r="M7" s="118"/>
      <c r="N7" s="199">
        <f>M8-L8</f>
        <v>1401.2400000000052</v>
      </c>
    </row>
    <row r="8" spans="1:14">
      <c r="A8" t="s">
        <v>11</v>
      </c>
      <c r="B8" s="71">
        <f>'Historical Income Statement '!B8*1.04</f>
        <v>114634</v>
      </c>
      <c r="C8" s="202">
        <f>B8/B8</f>
        <v>1</v>
      </c>
      <c r="D8" s="190">
        <f>B8*1.025</f>
        <v>117499.84999999999</v>
      </c>
      <c r="E8" s="194">
        <f>D8/D8</f>
        <v>1</v>
      </c>
      <c r="F8" s="123">
        <f>D8+'Cost Sheet'!E19</f>
        <v>117966.93</v>
      </c>
      <c r="G8" s="208">
        <f>G7/F8</f>
        <v>3.9594147275003409E-3</v>
      </c>
      <c r="H8" s="190">
        <f>D8*1.025</f>
        <v>120437.34624999999</v>
      </c>
      <c r="I8" s="194">
        <f>H8/$H$8</f>
        <v>1</v>
      </c>
      <c r="J8" s="123">
        <f>H8+'Cost Sheet'!H19</f>
        <v>121371.50624999999</v>
      </c>
      <c r="K8" s="208">
        <f>K7/J8</f>
        <v>7.6966994055081483E-3</v>
      </c>
      <c r="L8" s="190">
        <f>H8*1.025</f>
        <v>123448.27990624998</v>
      </c>
      <c r="M8" s="123">
        <f>L8+'Cost Sheet'!K19</f>
        <v>124849.51990624999</v>
      </c>
      <c r="N8">
        <f>N7/M8</f>
        <v>1.122343122386215E-2</v>
      </c>
    </row>
    <row r="9" spans="1:14">
      <c r="A9" t="s">
        <v>13</v>
      </c>
      <c r="B9" s="22">
        <f>'Historical Income Statement '!B9*1.04</f>
        <v>75559.12</v>
      </c>
      <c r="C9" s="203">
        <f>B9/$B$8</f>
        <v>0.65913359038330688</v>
      </c>
      <c r="D9" s="191">
        <f>D8*C9</f>
        <v>77448.097999999998</v>
      </c>
      <c r="E9" s="194">
        <f>D9/D8</f>
        <v>0.65913359038330688</v>
      </c>
      <c r="F9" s="207">
        <f>'Cost Sheet'!E4+'Proforma Income Statement'!D9</f>
        <v>77487.421999999991</v>
      </c>
      <c r="G9" s="209">
        <f>F9-D9</f>
        <v>39.323999999993248</v>
      </c>
      <c r="H9" s="191">
        <f>E9*H8</f>
        <v>79384.300449999995</v>
      </c>
      <c r="I9" s="194">
        <f t="shared" ref="I9:I24" si="0">H9/$H$8</f>
        <v>0.65913359038330688</v>
      </c>
      <c r="J9" s="140">
        <f>'Cost Sheet'!H4+H9</f>
        <v>79462.948449999996</v>
      </c>
      <c r="K9" s="209">
        <f>J9-H9</f>
        <v>78.648000000001048</v>
      </c>
      <c r="L9" s="191">
        <f>L8*E9</f>
        <v>81368.907961249992</v>
      </c>
      <c r="M9" s="140">
        <f>L9+'Cost Sheet'!K4</f>
        <v>81486.879961249986</v>
      </c>
      <c r="N9" s="65">
        <f>M9-L9</f>
        <v>117.9719999999943</v>
      </c>
    </row>
    <row r="10" spans="1:14">
      <c r="A10" t="s">
        <v>14</v>
      </c>
      <c r="B10" s="11">
        <f>B8-B9</f>
        <v>39074.880000000005</v>
      </c>
      <c r="C10" s="204">
        <f>B10/$B$8</f>
        <v>0.34086640961669318</v>
      </c>
      <c r="D10" s="192">
        <f>D8-D9</f>
        <v>40051.751999999993</v>
      </c>
      <c r="E10" s="200">
        <f>D10/D8</f>
        <v>0.34086640961669312</v>
      </c>
      <c r="F10" s="141">
        <f>F8-F9</f>
        <v>40479.508000000002</v>
      </c>
      <c r="G10" s="209">
        <f>G9/F9</f>
        <v>5.0748881541049656E-4</v>
      </c>
      <c r="H10" s="192">
        <f>H8-H9</f>
        <v>41053.045799999993</v>
      </c>
      <c r="I10" s="200">
        <f t="shared" si="0"/>
        <v>0.34086640961669312</v>
      </c>
      <c r="J10" s="141">
        <f>J8-J9</f>
        <v>41908.557799999995</v>
      </c>
      <c r="K10" s="209">
        <f>K9/J9</f>
        <v>9.8974429635578223E-4</v>
      </c>
      <c r="L10" s="192">
        <f>L8-L9</f>
        <v>42079.371944999992</v>
      </c>
      <c r="M10" s="141">
        <f>M8-M9</f>
        <v>43362.639945000003</v>
      </c>
      <c r="N10">
        <f>N9/M9</f>
        <v>1.4477422630010416E-3</v>
      </c>
    </row>
    <row r="11" spans="1:14">
      <c r="A11" s="4" t="s">
        <v>15</v>
      </c>
      <c r="B11" s="10"/>
      <c r="C11" s="205"/>
      <c r="D11" s="191"/>
      <c r="E11" s="194"/>
      <c r="F11" s="140"/>
      <c r="G11" s="209"/>
      <c r="H11" s="191"/>
      <c r="I11" s="194"/>
      <c r="J11" s="140"/>
      <c r="K11" s="209"/>
      <c r="L11" s="191"/>
      <c r="M11" s="140"/>
    </row>
    <row r="12" spans="1:14">
      <c r="A12" t="s">
        <v>16</v>
      </c>
      <c r="B12" s="11">
        <f>'Historical Income Statement '!B12*1.02</f>
        <v>20134.8</v>
      </c>
      <c r="C12" s="205">
        <f>B12/$B$8</f>
        <v>0.17564422422666923</v>
      </c>
      <c r="D12" s="191">
        <f>D8*C12</f>
        <v>20638.169999999998</v>
      </c>
      <c r="E12" s="194">
        <f>D12/D8</f>
        <v>0.17564422422666923</v>
      </c>
      <c r="F12" s="140">
        <f>D12+SUM('Cost Sheet'!E5:E14)</f>
        <v>20716.193399999996</v>
      </c>
      <c r="G12" s="209">
        <f>F12-D12</f>
        <v>78.023399999998219</v>
      </c>
      <c r="H12" s="191">
        <f>E12*H8</f>
        <v>21154.124249999997</v>
      </c>
      <c r="I12" s="194">
        <f t="shared" si="0"/>
        <v>0.17564422422666923</v>
      </c>
      <c r="J12" s="140">
        <f>H12+SUM('Cost Sheet'!H5:H14)</f>
        <v>21304.771049999996</v>
      </c>
      <c r="K12" s="209">
        <f>J12-H12</f>
        <v>150.64679999999862</v>
      </c>
      <c r="L12" s="191">
        <f>I12*L8</f>
        <v>21682.977356249998</v>
      </c>
      <c r="M12" s="140">
        <f>L12+SUM('Cost Sheet'!K5:K14)</f>
        <v>21906.359356249999</v>
      </c>
      <c r="N12" s="65">
        <f>M12-L12</f>
        <v>223.38200000000143</v>
      </c>
    </row>
    <row r="13" spans="1:14">
      <c r="A13" t="s">
        <v>17</v>
      </c>
      <c r="B13" s="11">
        <f>'Historical Income Statement '!B13*1.045</f>
        <v>2078.5049999999997</v>
      </c>
      <c r="C13" s="205">
        <f>B13/$B$8</f>
        <v>1.8131662508505328E-2</v>
      </c>
      <c r="D13" s="191">
        <f>C13*D8</f>
        <v>2130.4676249999998</v>
      </c>
      <c r="E13" s="194">
        <f>D13/D8</f>
        <v>1.8131662508505328E-2</v>
      </c>
      <c r="F13" s="140">
        <f>D13</f>
        <v>2130.4676249999998</v>
      </c>
      <c r="G13" s="209">
        <f>G12/F12</f>
        <v>3.766300038500231E-3</v>
      </c>
      <c r="H13" s="191">
        <f>E13*H8</f>
        <v>2183.7293156249993</v>
      </c>
      <c r="I13" s="194">
        <f t="shared" si="0"/>
        <v>1.8131662508505328E-2</v>
      </c>
      <c r="J13" s="140">
        <f>H13+(13/40)</f>
        <v>2184.0543156249992</v>
      </c>
      <c r="K13" s="209">
        <f>K12/J12</f>
        <v>7.0710358560740622E-3</v>
      </c>
      <c r="L13" s="191">
        <f>I13*L8</f>
        <v>2238.3225485156245</v>
      </c>
      <c r="M13" s="140">
        <f>L13</f>
        <v>2238.3225485156245</v>
      </c>
      <c r="N13">
        <f>N12/M12</f>
        <v>1.0197130265566897E-2</v>
      </c>
    </row>
    <row r="14" spans="1:14">
      <c r="A14" t="s">
        <v>18</v>
      </c>
      <c r="B14" s="65">
        <v>0</v>
      </c>
      <c r="C14" s="205">
        <f>B14/$B$8</f>
        <v>0</v>
      </c>
      <c r="D14" s="191">
        <v>0</v>
      </c>
      <c r="E14" s="194">
        <v>0</v>
      </c>
      <c r="F14" s="140">
        <v>0</v>
      </c>
      <c r="G14" s="209"/>
      <c r="H14" s="191">
        <v>0</v>
      </c>
      <c r="I14" s="194">
        <f t="shared" si="0"/>
        <v>0</v>
      </c>
      <c r="J14" s="140">
        <f>H14</f>
        <v>0</v>
      </c>
      <c r="K14" s="209"/>
      <c r="L14" s="191">
        <f>0</f>
        <v>0</v>
      </c>
      <c r="M14" s="140">
        <f>L14</f>
        <v>0</v>
      </c>
    </row>
    <row r="15" spans="1:14">
      <c r="A15" t="s">
        <v>19</v>
      </c>
      <c r="B15" s="22">
        <f>SUM(B12:B14)</f>
        <v>22213.305</v>
      </c>
      <c r="C15" s="203">
        <f>B15/$B$8</f>
        <v>0.19377588673517457</v>
      </c>
      <c r="D15" s="191">
        <f>D12+D13</f>
        <v>22768.637624999999</v>
      </c>
      <c r="E15" s="194">
        <f>D15/D8</f>
        <v>0.19377588673517457</v>
      </c>
      <c r="F15" s="140">
        <f>SUM(F12:F14)</f>
        <v>22846.661024999998</v>
      </c>
      <c r="G15" s="209"/>
      <c r="H15" s="191">
        <f>H12+H13</f>
        <v>23337.853565624995</v>
      </c>
      <c r="I15" s="194">
        <f t="shared" si="0"/>
        <v>0.19377588673517454</v>
      </c>
      <c r="J15" s="140">
        <f>SUM(J12:J14)</f>
        <v>23488.825365624994</v>
      </c>
      <c r="K15" s="209"/>
      <c r="L15" s="191">
        <f>L12+L13</f>
        <v>23921.299904765623</v>
      </c>
      <c r="M15" s="140">
        <f>M12+M13</f>
        <v>24144.681904765624</v>
      </c>
    </row>
    <row r="16" spans="1:14">
      <c r="A16" t="s">
        <v>20</v>
      </c>
      <c r="B16" s="11">
        <f>B10-B15</f>
        <v>16861.575000000004</v>
      </c>
      <c r="C16" s="204">
        <f>B16/$B$8</f>
        <v>0.14709052288151861</v>
      </c>
      <c r="D16" s="192">
        <f>D10-D15</f>
        <v>17283.114374999994</v>
      </c>
      <c r="E16" s="200">
        <f>D16/D8</f>
        <v>0.14709052288151853</v>
      </c>
      <c r="F16" s="141">
        <f>F10-F15</f>
        <v>17632.846975000004</v>
      </c>
      <c r="G16" s="209"/>
      <c r="H16" s="192">
        <f>H10-H15</f>
        <v>17715.192234374997</v>
      </c>
      <c r="I16" s="200">
        <f t="shared" si="0"/>
        <v>0.14709052288151855</v>
      </c>
      <c r="J16" s="141">
        <f>J10-J15</f>
        <v>18419.732434375001</v>
      </c>
      <c r="K16" s="209"/>
      <c r="L16" s="192">
        <f>L10-L15</f>
        <v>18158.072040234369</v>
      </c>
      <c r="M16" s="141">
        <f>M10-M15</f>
        <v>19217.958040234378</v>
      </c>
    </row>
    <row r="17" spans="1:14">
      <c r="A17" s="4" t="s">
        <v>21</v>
      </c>
      <c r="B17" s="10"/>
      <c r="C17" s="205"/>
      <c r="D17" s="191"/>
      <c r="E17" s="194"/>
      <c r="F17" s="140"/>
      <c r="G17" s="209"/>
      <c r="H17" s="191"/>
      <c r="I17" s="194"/>
      <c r="J17" s="140"/>
      <c r="K17" s="209"/>
      <c r="L17" s="191"/>
      <c r="M17" s="140"/>
    </row>
    <row r="18" spans="1:14">
      <c r="A18" t="s">
        <v>22</v>
      </c>
      <c r="B18" s="172">
        <f>'Historical Income Statement '!B18*1.01</f>
        <v>-73.73</v>
      </c>
      <c r="C18" s="205">
        <f>B18/$B$8</f>
        <v>-6.4317741682223427E-4</v>
      </c>
      <c r="D18" s="191">
        <f>D8*C18</f>
        <v>-75.573250000000002</v>
      </c>
      <c r="E18" s="194">
        <f>D18/D8</f>
        <v>-6.4317741682223427E-4</v>
      </c>
      <c r="F18" s="140">
        <f>D18</f>
        <v>-75.573250000000002</v>
      </c>
      <c r="G18" s="209"/>
      <c r="H18" s="191">
        <f>E18*H8</f>
        <v>-77.462581249999999</v>
      </c>
      <c r="I18" s="194">
        <f t="shared" si="0"/>
        <v>-6.4317741682223427E-4</v>
      </c>
      <c r="J18" s="140">
        <f>H18</f>
        <v>-77.462581249999999</v>
      </c>
      <c r="K18" s="209"/>
      <c r="L18" s="191">
        <f>I18*L8</f>
        <v>-79.399145781249999</v>
      </c>
      <c r="M18" s="140">
        <f>L18</f>
        <v>-79.399145781249999</v>
      </c>
    </row>
    <row r="19" spans="1:14">
      <c r="A19" t="s">
        <v>23</v>
      </c>
      <c r="B19" s="11">
        <f>'Historical Income Statement '!B19*1.02</f>
        <v>1225.02</v>
      </c>
      <c r="C19" s="205">
        <f>B19/$B$8</f>
        <v>1.0686358323010625E-2</v>
      </c>
      <c r="D19" s="191">
        <f>C19*D8</f>
        <v>1255.6454999999999</v>
      </c>
      <c r="E19" s="194">
        <f>D19/D8</f>
        <v>1.0686358323010625E-2</v>
      </c>
      <c r="F19" s="140">
        <f>D19</f>
        <v>1255.6454999999999</v>
      </c>
      <c r="G19" s="209"/>
      <c r="H19" s="191">
        <f>E19*H8</f>
        <v>1287.0366374999999</v>
      </c>
      <c r="I19" s="194">
        <f t="shared" si="0"/>
        <v>1.0686358323010625E-2</v>
      </c>
      <c r="J19" s="140">
        <f>H19</f>
        <v>1287.0366374999999</v>
      </c>
      <c r="K19" s="209"/>
      <c r="L19" s="191">
        <f>I19*L8</f>
        <v>1319.2125534374998</v>
      </c>
      <c r="M19" s="140">
        <f>L19</f>
        <v>1319.2125534374998</v>
      </c>
    </row>
    <row r="20" spans="1:14">
      <c r="A20" t="s">
        <v>24</v>
      </c>
      <c r="B20" s="65">
        <v>0</v>
      </c>
      <c r="C20" s="205">
        <f>B20/$B$8</f>
        <v>0</v>
      </c>
      <c r="D20" s="191">
        <f>0</f>
        <v>0</v>
      </c>
      <c r="E20" s="194"/>
      <c r="F20" s="140"/>
      <c r="G20" s="209"/>
      <c r="H20" s="191">
        <v>0</v>
      </c>
      <c r="I20" s="194">
        <f t="shared" si="0"/>
        <v>0</v>
      </c>
      <c r="J20" s="140">
        <f>H20</f>
        <v>0</v>
      </c>
      <c r="K20" s="209"/>
      <c r="L20" s="191">
        <v>0</v>
      </c>
      <c r="M20" s="140">
        <f>L20</f>
        <v>0</v>
      </c>
    </row>
    <row r="21" spans="1:14">
      <c r="A21" t="s">
        <v>25</v>
      </c>
      <c r="B21" s="11">
        <f>'Historical Income Statement '!B21*1.005</f>
        <v>1133.6399999999999</v>
      </c>
      <c r="C21" s="205">
        <f>B21/$B$8</f>
        <v>9.8892126245267529E-3</v>
      </c>
      <c r="D21" s="191">
        <f>C21*D8</f>
        <v>1161.9809999999998</v>
      </c>
      <c r="E21" s="194">
        <f>D21/D8</f>
        <v>9.8892126245267529E-3</v>
      </c>
      <c r="F21" s="140">
        <f>D21</f>
        <v>1161.9809999999998</v>
      </c>
      <c r="G21" s="209"/>
      <c r="H21" s="191">
        <f>E21*H8</f>
        <v>1191.0305249999997</v>
      </c>
      <c r="I21" s="194">
        <f t="shared" si="0"/>
        <v>9.8892126245267529E-3</v>
      </c>
      <c r="J21" s="140">
        <f>H21</f>
        <v>1191.0305249999997</v>
      </c>
      <c r="K21" s="209"/>
      <c r="L21" s="191">
        <f>I21*L8</f>
        <v>1220.8062881249996</v>
      </c>
      <c r="M21" s="140">
        <f>L21</f>
        <v>1220.8062881249996</v>
      </c>
    </row>
    <row r="22" spans="1:14">
      <c r="A22" t="s">
        <v>26</v>
      </c>
      <c r="B22" s="11">
        <f>B16-B18-B19-B21</f>
        <v>14576.645000000004</v>
      </c>
      <c r="C22" s="205">
        <f>B22/$B$8</f>
        <v>0.12715812935080345</v>
      </c>
      <c r="D22" s="191">
        <f>D16-D18-D19-D21</f>
        <v>14941.061124999995</v>
      </c>
      <c r="E22" s="194">
        <f>D22/D8</f>
        <v>0.12715812935080339</v>
      </c>
      <c r="F22" s="140">
        <f>F16-SUM(F18:F21)</f>
        <v>15290.793725000003</v>
      </c>
      <c r="G22" s="209"/>
      <c r="H22" s="191">
        <f>H16-H18-H19-H21</f>
        <v>15314.587653124998</v>
      </c>
      <c r="I22" s="194">
        <f t="shared" si="0"/>
        <v>0.12715812935080342</v>
      </c>
      <c r="J22" s="140">
        <f>J16-SUM(J18:J21)</f>
        <v>16019.127853125001</v>
      </c>
      <c r="K22" s="209"/>
      <c r="L22" s="191">
        <f>L16+L18-L19-L21</f>
        <v>15538.654052890617</v>
      </c>
      <c r="M22" s="140">
        <f>M16-SUM(M18:M21)</f>
        <v>16757.338344453128</v>
      </c>
      <c r="N22" s="24"/>
    </row>
    <row r="23" spans="1:14">
      <c r="A23" t="s">
        <v>27</v>
      </c>
      <c r="B23" s="64">
        <f>B22*0.21</f>
        <v>3061.0954500000007</v>
      </c>
      <c r="C23" s="203">
        <f>B23/$B$8</f>
        <v>2.6703207163668724E-2</v>
      </c>
      <c r="D23" s="191">
        <f>D22*0.21</f>
        <v>3137.6228362499987</v>
      </c>
      <c r="E23" s="194">
        <f>D23/D8</f>
        <v>2.670320716366871E-2</v>
      </c>
      <c r="F23" s="140">
        <f>F22*0.21</f>
        <v>3211.0666822500007</v>
      </c>
      <c r="G23" s="209"/>
      <c r="H23" s="191">
        <f>H22*0.21</f>
        <v>3216.0634071562495</v>
      </c>
      <c r="I23" s="194">
        <f t="shared" si="0"/>
        <v>2.6703207163668717E-2</v>
      </c>
      <c r="J23" s="140">
        <f>J22*0.21</f>
        <v>3364.0168491562499</v>
      </c>
      <c r="K23" s="209"/>
      <c r="L23" s="191">
        <f>L22*0.21</f>
        <v>3263.1173511070297</v>
      </c>
      <c r="M23" s="140">
        <f>M22*0.21</f>
        <v>3519.041052335157</v>
      </c>
    </row>
    <row r="24" spans="1:14">
      <c r="A24" s="4" t="s">
        <v>28</v>
      </c>
      <c r="B24" s="80">
        <f>B22-B23</f>
        <v>11515.549550000003</v>
      </c>
      <c r="C24" s="206">
        <f>B24/$B$8</f>
        <v>0.10045492218713474</v>
      </c>
      <c r="D24" s="193">
        <f>D22-D23</f>
        <v>11803.438288749996</v>
      </c>
      <c r="E24" s="201">
        <f>D24/D8</f>
        <v>0.10045492218713468</v>
      </c>
      <c r="F24" s="130">
        <f>F22-F23</f>
        <v>12079.727042750003</v>
      </c>
      <c r="G24" s="208"/>
      <c r="H24" s="193">
        <f>H22-H23</f>
        <v>12098.524245968749</v>
      </c>
      <c r="I24" s="201">
        <f t="shared" si="0"/>
        <v>0.10045492218713471</v>
      </c>
      <c r="J24" s="130">
        <f>J22-J23</f>
        <v>12655.111003968752</v>
      </c>
      <c r="K24" s="208"/>
      <c r="L24" s="193">
        <f>L22-L23</f>
        <v>12275.536701783587</v>
      </c>
      <c r="M24" s="130">
        <f>M22-M23</f>
        <v>13238.297292117972</v>
      </c>
    </row>
  </sheetData>
  <mergeCells count="7">
    <mergeCell ref="D5:F5"/>
    <mergeCell ref="H5:J5"/>
    <mergeCell ref="L5:M5"/>
    <mergeCell ref="A1:M1"/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91DD-F5DB-0F44-BE21-77D5F5F7F320}">
  <dimension ref="A1:K45"/>
  <sheetViews>
    <sheetView workbookViewId="0">
      <pane xSplit="1" topLeftCell="B20" activePane="topRight" state="frozen"/>
      <selection pane="topRight" activeCell="L37" sqref="L37"/>
    </sheetView>
  </sheetViews>
  <sheetFormatPr defaultColWidth="11" defaultRowHeight="15.95"/>
  <cols>
    <col min="1" max="1" width="38.875" customWidth="1"/>
    <col min="2" max="2" width="21.625" customWidth="1"/>
    <col min="3" max="3" width="5.125" customWidth="1"/>
    <col min="4" max="4" width="19.125" customWidth="1"/>
    <col min="5" max="5" width="20.375" customWidth="1"/>
    <col min="6" max="6" width="5.625" customWidth="1"/>
    <col min="7" max="7" width="20.625" customWidth="1"/>
    <col min="8" max="8" width="18.625" customWidth="1"/>
    <col min="9" max="9" width="6.125" customWidth="1"/>
    <col min="10" max="10" width="23.625" customWidth="1"/>
    <col min="11" max="11" width="20.125" customWidth="1"/>
  </cols>
  <sheetData>
    <row r="1" spans="1:11">
      <c r="A1" s="224" t="s">
        <v>138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>
      <c r="A2" s="224" t="s">
        <v>150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15.75" customHeight="1">
      <c r="A3" s="225" t="s">
        <v>151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224" t="s">
        <v>141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 ht="15.75">
      <c r="B5" s="170" t="s">
        <v>142</v>
      </c>
      <c r="C5" s="115"/>
      <c r="D5" s="223">
        <v>2023</v>
      </c>
      <c r="E5" s="223"/>
      <c r="F5" s="115"/>
      <c r="G5" s="223">
        <v>2024</v>
      </c>
      <c r="H5" s="223"/>
      <c r="I5" s="115"/>
      <c r="J5" s="223">
        <v>2025</v>
      </c>
      <c r="K5" s="223"/>
    </row>
    <row r="6" spans="1:11" ht="15.75">
      <c r="C6" s="116"/>
      <c r="D6" s="116" t="s">
        <v>147</v>
      </c>
      <c r="E6" s="116" t="s">
        <v>148</v>
      </c>
      <c r="F6" s="116"/>
      <c r="G6" s="116" t="s">
        <v>147</v>
      </c>
      <c r="H6" s="116" t="s">
        <v>149</v>
      </c>
      <c r="I6" s="116"/>
      <c r="J6" s="116" t="s">
        <v>147</v>
      </c>
      <c r="K6" s="116" t="s">
        <v>148</v>
      </c>
    </row>
    <row r="7" spans="1:11">
      <c r="A7" s="4" t="s">
        <v>34</v>
      </c>
      <c r="B7" s="5"/>
      <c r="D7" s="117"/>
      <c r="E7" s="118"/>
      <c r="G7" s="117"/>
      <c r="H7" s="118"/>
      <c r="J7" s="117"/>
      <c r="K7" s="118"/>
    </row>
    <row r="8" spans="1:11" ht="15.75">
      <c r="A8" t="s">
        <v>35</v>
      </c>
      <c r="B8" s="8">
        <v>2760</v>
      </c>
      <c r="D8" s="183">
        <v>5911.4</v>
      </c>
      <c r="E8" s="184">
        <v>6073</v>
      </c>
      <c r="F8" s="73"/>
      <c r="G8" s="183">
        <v>5682</v>
      </c>
      <c r="H8" s="184">
        <v>6299</v>
      </c>
      <c r="I8" s="73"/>
      <c r="J8" s="183">
        <v>5698</v>
      </c>
      <c r="K8" s="215">
        <v>7193</v>
      </c>
    </row>
    <row r="9" spans="1:11" ht="15.75">
      <c r="A9" t="s">
        <v>36</v>
      </c>
      <c r="B9" s="24">
        <f>SUM('Historical Balance Sheet'!B9+'Historical Balance Sheet'!E9+'Historical Balance Sheet'!H9)/3</f>
        <v>1998</v>
      </c>
      <c r="D9" s="173">
        <f>('Historical Balance Sheet'!E9+'Historical Balance Sheet'!B9+'Proforma Balance Sheet'!B9)/3</f>
        <v>2013.3333333333333</v>
      </c>
      <c r="E9" s="210">
        <f>D9*(1+'Proforma Income Statement'!G8)</f>
        <v>2021.3049549847008</v>
      </c>
      <c r="F9" s="9"/>
      <c r="G9" s="173">
        <f>SUM(D9,B9,'Historical Balance Sheet'!B9)/3</f>
        <v>2039.1111111111111</v>
      </c>
      <c r="H9" s="210">
        <f>G9*(1+'Proforma Income Statement'!$K$8)</f>
        <v>2054.8055363877647</v>
      </c>
      <c r="I9" s="9"/>
      <c r="J9" s="173">
        <f>SUM(G9,D9,B9)/3</f>
        <v>2016.8148148148148</v>
      </c>
      <c r="K9" s="210">
        <f>J9*(1+'Proforma Income Statement'!$N$8)</f>
        <v>2039.4503971801551</v>
      </c>
    </row>
    <row r="10" spans="1:11" ht="15.75">
      <c r="A10" t="s">
        <v>37</v>
      </c>
      <c r="B10" s="24">
        <f>SUM('Historical Balance Sheet'!B10+'Historical Balance Sheet'!E10+'Historical Balance Sheet'!H10)/3</f>
        <v>13734.666666666666</v>
      </c>
      <c r="D10" s="173">
        <f>('Historical Balance Sheet'!E10+'Historical Balance Sheet'!B10+'Proforma Balance Sheet'!B10)/3</f>
        <v>14063.555555555555</v>
      </c>
      <c r="E10" s="210">
        <f>D10*(1+'Proforma Income Statement'!G8)</f>
        <v>14119.239004543242</v>
      </c>
      <c r="F10" s="9"/>
      <c r="G10" s="173">
        <f>SUM(D10,B10,'Historical Balance Sheet'!B10)/3</f>
        <v>14109.740740740739</v>
      </c>
      <c r="H10" s="210">
        <f>G10*(1+'Proforma Income Statement'!$K$8)</f>
        <v>14218.339173911872</v>
      </c>
      <c r="I10" s="9"/>
      <c r="J10" s="173">
        <f t="shared" ref="J10:J42" si="0">SUM(G10,D10,B10)/3</f>
        <v>13969.320987654319</v>
      </c>
      <c r="K10" s="210">
        <f>J10*(1+'Proforma Income Statement'!$N$8)</f>
        <v>14126.104701003311</v>
      </c>
    </row>
    <row r="11" spans="1:11" ht="15.75">
      <c r="A11" t="s">
        <v>38</v>
      </c>
      <c r="B11" s="24">
        <f>SUM('Historical Balance Sheet'!B11+'Historical Balance Sheet'!E11+'Historical Balance Sheet'!H11)/3</f>
        <v>856</v>
      </c>
      <c r="D11" s="173">
        <f>('Historical Balance Sheet'!E11+'Historical Balance Sheet'!B11+'Proforma Balance Sheet'!B11)/3</f>
        <v>928.66666666666663</v>
      </c>
      <c r="E11" s="210">
        <f>D11*(1+'Proforma Income Statement'!G8)</f>
        <v>932.34364314360528</v>
      </c>
      <c r="F11" s="9"/>
      <c r="G11" s="173">
        <f>SUM(D11,B11,'Historical Balance Sheet'!B11)/3</f>
        <v>941.55555555555554</v>
      </c>
      <c r="H11" s="214">
        <f>G11*(1+'Proforma Income Statement'!$K$8)</f>
        <v>948.80242564025286</v>
      </c>
      <c r="I11" s="9"/>
      <c r="J11" s="173">
        <f t="shared" si="0"/>
        <v>908.74074074074076</v>
      </c>
      <c r="K11" s="214">
        <f>J11*(1+'Proforma Income Statement'!$N$8)</f>
        <v>918.93992994476605</v>
      </c>
    </row>
    <row r="12" spans="1:11" ht="15.75">
      <c r="A12" s="4" t="s">
        <v>39</v>
      </c>
      <c r="B12" s="121">
        <f>SUM(B8:B11)</f>
        <v>19348.666666666664</v>
      </c>
      <c r="C12" s="119"/>
      <c r="D12" s="178">
        <f>SUM(D8:D11)</f>
        <v>22916.955555555556</v>
      </c>
      <c r="E12" s="211">
        <f>SUM(E8:E11)</f>
        <v>23145.887602671548</v>
      </c>
      <c r="F12" s="175"/>
      <c r="G12" s="178">
        <f>SUM(G8:G11)</f>
        <v>22772.407407407405</v>
      </c>
      <c r="H12" s="210">
        <f>SUM(H8:H11)</f>
        <v>23520.947135939892</v>
      </c>
      <c r="I12" s="175"/>
      <c r="J12" s="178">
        <f>SUM(J8:J11)</f>
        <v>22592.876543209873</v>
      </c>
      <c r="K12" s="210">
        <f>SUM(K8:K11)</f>
        <v>24277.495028128233</v>
      </c>
    </row>
    <row r="13" spans="1:11" ht="15.75">
      <c r="B13" s="24"/>
      <c r="D13" s="173"/>
      <c r="E13" s="210"/>
      <c r="F13" s="9"/>
      <c r="G13" s="173"/>
      <c r="H13" s="210"/>
      <c r="I13" s="9"/>
      <c r="J13" s="173"/>
      <c r="K13" s="210"/>
    </row>
    <row r="14" spans="1:11" ht="15.75">
      <c r="A14" t="s">
        <v>40</v>
      </c>
      <c r="B14" s="24">
        <f>SUM('Historical Balance Sheet'!B14+'Historical Balance Sheet'!E14+'Historical Balance Sheet'!H14)/3</f>
        <v>22406.666666666668</v>
      </c>
      <c r="D14" s="173">
        <f>('Historical Balance Sheet'!E14+'Historical Balance Sheet'!B14+'Proforma Balance Sheet'!B14)/3</f>
        <v>22517.222222222223</v>
      </c>
      <c r="E14" s="210">
        <f>D14*(1+'Proforma Income Statement'!G8)+18</f>
        <v>22624.377243511288</v>
      </c>
      <c r="F14" s="9"/>
      <c r="G14" s="173">
        <f>SUM(D14,B14,'Historical Balance Sheet'!B14)/3</f>
        <v>22564.629629629631</v>
      </c>
      <c r="H14" s="210">
        <f>G14*(1+'Proforma Income Statement'!$K$8)+18</f>
        <v>22756.302801085512</v>
      </c>
      <c r="I14" s="9"/>
      <c r="J14" s="173">
        <f t="shared" si="0"/>
        <v>22496.172839506176</v>
      </c>
      <c r="K14" s="210">
        <f>J14*(1+'Proforma Income Statement'!$N$8)+18</f>
        <v>22766.65708817049</v>
      </c>
    </row>
    <row r="15" spans="1:11" ht="15.75">
      <c r="A15" t="s">
        <v>41</v>
      </c>
      <c r="B15" s="24">
        <f>SUM('Historical Balance Sheet'!B15+'Historical Balance Sheet'!E15+'Historical Balance Sheet'!H15)/3</f>
        <v>1865</v>
      </c>
      <c r="D15" s="173">
        <f>('Historical Balance Sheet'!E15+'Historical Balance Sheet'!B15+'Proforma Balance Sheet'!B15)/3</f>
        <v>2486.6666666666665</v>
      </c>
      <c r="E15" s="210">
        <f>D15*(1+'Proforma Income Statement'!$G$8)</f>
        <v>2496.5124112890508</v>
      </c>
      <c r="F15" s="9"/>
      <c r="G15" s="173">
        <f>SUM(D15,B15,'Historical Balance Sheet'!B15)/3</f>
        <v>3315.5555555555552</v>
      </c>
      <c r="H15" s="210">
        <f>G15*(1+'Proforma Income Statement'!$K$8)</f>
        <v>3341.0743900289285</v>
      </c>
      <c r="I15" s="9"/>
      <c r="J15" s="173">
        <f t="shared" si="0"/>
        <v>2555.7407407407404</v>
      </c>
      <c r="K15" s="210">
        <f>J15*(1+'Proforma Income Statement'!$N$8)</f>
        <v>2584.4249211704669</v>
      </c>
    </row>
    <row r="16" spans="1:11" ht="15.75">
      <c r="A16" t="s">
        <v>42</v>
      </c>
      <c r="B16" s="24">
        <f>SUM('Historical Balance Sheet'!B16+'Historical Balance Sheet'!E16+'Historical Balance Sheet'!H16)/3</f>
        <v>2260.3333333333335</v>
      </c>
      <c r="D16" s="173">
        <f>('Historical Balance Sheet'!E16+'Historical Balance Sheet'!B16+'Proforma Balance Sheet'!B16)/3</f>
        <v>2255.4444444444448</v>
      </c>
      <c r="E16" s="210">
        <f>D16*(1+'Proforma Income Statement'!$G$8)</f>
        <v>2264.374684394837</v>
      </c>
      <c r="F16" s="9"/>
      <c r="G16" s="173">
        <f>SUM(D16,B16,'Historical Balance Sheet'!B16)/3</f>
        <v>2256.5925925925926</v>
      </c>
      <c r="H16" s="210">
        <f>G16*(1+'Proforma Income Statement'!$K$8)</f>
        <v>2273.9609074584741</v>
      </c>
      <c r="I16" s="9"/>
      <c r="J16" s="173">
        <f t="shared" si="0"/>
        <v>2257.4567901234568</v>
      </c>
      <c r="K16" s="210">
        <f>J16*(1+'Proforma Income Statement'!$N$8)</f>
        <v>2282.793201148248</v>
      </c>
    </row>
    <row r="17" spans="1:11" ht="15.75">
      <c r="A17" t="s">
        <v>43</v>
      </c>
      <c r="B17" s="24">
        <f>SUM('Historical Balance Sheet'!B17+'Historical Balance Sheet'!E17+'Historical Balance Sheet'!H17)/3</f>
        <v>966.66666666666663</v>
      </c>
      <c r="D17" s="173">
        <f>('Historical Balance Sheet'!E17+'Historical Balance Sheet'!B17+'Proforma Balance Sheet'!B17)/3</f>
        <v>873.55555555555554</v>
      </c>
      <c r="E17" s="210">
        <f>D17*(1+'Proforma Income Statement'!$G$8)</f>
        <v>877.01432428751195</v>
      </c>
      <c r="F17" s="9"/>
      <c r="G17" s="173">
        <f>SUM(D17,B17,'Historical Balance Sheet'!B17)/3</f>
        <v>882.40740740740739</v>
      </c>
      <c r="H17" s="210">
        <f>G17*(1+'Proforma Income Statement'!$K$8)+0.04</f>
        <v>889.23903197541586</v>
      </c>
      <c r="I17" s="9"/>
      <c r="J17" s="173">
        <f t="shared" si="0"/>
        <v>907.54320987654319</v>
      </c>
      <c r="K17" s="210">
        <f>J17*(1+'Proforma Income Statement'!$N$8)</f>
        <v>917.72895867527563</v>
      </c>
    </row>
    <row r="18" spans="1:11" ht="15.75">
      <c r="A18" s="4" t="s">
        <v>44</v>
      </c>
      <c r="B18" s="181">
        <f>SUM(B12:B17)</f>
        <v>46847.333333333328</v>
      </c>
      <c r="C18" s="120"/>
      <c r="D18" s="179">
        <f>SUM(D12:D17)</f>
        <v>51049.844444444439</v>
      </c>
      <c r="E18" s="213">
        <f>SUM(E12:E17)</f>
        <v>51408.166266154236</v>
      </c>
      <c r="F18" s="176"/>
      <c r="G18" s="179">
        <f>SUM(G12:G17)</f>
        <v>51791.592592592591</v>
      </c>
      <c r="H18" s="213">
        <f>SUM(H12:H17)</f>
        <v>52781.524266488224</v>
      </c>
      <c r="I18" s="176"/>
      <c r="J18" s="179">
        <f>SUM(J12:J17)</f>
        <v>50809.790123456791</v>
      </c>
      <c r="K18" s="213">
        <f>SUM(K12:K17)</f>
        <v>52829.099197292708</v>
      </c>
    </row>
    <row r="19" spans="1:11" ht="15.75">
      <c r="A19" s="4" t="s">
        <v>45</v>
      </c>
      <c r="B19" s="24"/>
      <c r="D19" s="173"/>
      <c r="E19" s="174"/>
      <c r="F19" s="9"/>
      <c r="G19" s="173"/>
      <c r="H19" s="174"/>
      <c r="I19" s="9"/>
      <c r="J19" s="173"/>
      <c r="K19" s="174"/>
    </row>
    <row r="20" spans="1:11" ht="15.75">
      <c r="A20" t="s">
        <v>46</v>
      </c>
      <c r="B20" s="24"/>
      <c r="D20" s="173"/>
      <c r="E20" s="174"/>
      <c r="F20" s="9"/>
      <c r="G20" s="173"/>
      <c r="H20" s="174"/>
      <c r="I20" s="9"/>
      <c r="J20" s="173"/>
      <c r="K20" s="174"/>
    </row>
    <row r="21" spans="1:11" ht="15.75">
      <c r="A21" t="s">
        <v>47</v>
      </c>
      <c r="B21" s="24">
        <f>SUM('Historical Balance Sheet'!B21+'Historical Balance Sheet'!E21+'Historical Balance Sheet'!H21)/3</f>
        <v>1290.6666666666667</v>
      </c>
      <c r="D21" s="173">
        <f>('Historical Balance Sheet'!E21+'Historical Balance Sheet'!B21+'Proforma Balance Sheet'!B21)/3</f>
        <v>1201.2222222222224</v>
      </c>
      <c r="E21" s="210">
        <f>D21*(1+'Proforma Income Statement'!$G$13)</f>
        <v>1205.7463855240253</v>
      </c>
      <c r="F21" s="9"/>
      <c r="G21" s="173">
        <f>SUM(D21,B21,'Historical Balance Sheet'!B21)/3</f>
        <v>1155.2962962962963</v>
      </c>
      <c r="H21" s="210">
        <f>G21*(1+'Proforma Income Statement'!$K$13)</f>
        <v>1163.4654378317971</v>
      </c>
      <c r="I21" s="9"/>
      <c r="J21" s="173">
        <f t="shared" si="0"/>
        <v>1215.7283950617284</v>
      </c>
      <c r="K21" s="210">
        <f>J21*(1+'Proforma Income Statement'!$N$13)</f>
        <v>1228.1253358737213</v>
      </c>
    </row>
    <row r="22" spans="1:11" ht="15.75">
      <c r="A22" t="s">
        <v>48</v>
      </c>
      <c r="B22" s="24">
        <f>(SUM('Historical Balance Sheet'!B22+'Historical Balance Sheet'!E22+'Historical Balance Sheet'!H22)/3)</f>
        <v>7595.333333333333</v>
      </c>
      <c r="D22" s="173">
        <f>('Historical Balance Sheet'!E22+'Historical Balance Sheet'!B22+'Proforma Balance Sheet'!B22)/3</f>
        <v>7712.4444444444443</v>
      </c>
      <c r="E22" s="210">
        <f>D22*(1+'Proforma Income Statement'!$G$13)</f>
        <v>7741.4918242524864</v>
      </c>
      <c r="F22" s="9"/>
      <c r="G22" s="173">
        <f>SUM(D22,B22,'Historical Balance Sheet'!B22)/3</f>
        <v>7698.2592592592591</v>
      </c>
      <c r="H22" s="210">
        <f>G22*(1+'Proforma Income Statement'!$K$13)</f>
        <v>7752.6939265108358</v>
      </c>
      <c r="I22" s="9"/>
      <c r="J22" s="173">
        <f t="shared" si="0"/>
        <v>7668.6790123456785</v>
      </c>
      <c r="K22" s="210">
        <f>J22*(1+'Proforma Income Statement'!$N$13)</f>
        <v>7746.8775311993859</v>
      </c>
    </row>
    <row r="23" spans="1:11" ht="15.75">
      <c r="A23" t="s">
        <v>49</v>
      </c>
      <c r="B23" s="24">
        <f>SUM('Historical Balance Sheet'!B23+'Historical Balance Sheet'!E23+'Historical Balance Sheet'!H23)/3</f>
        <v>1546.6666666666667</v>
      </c>
      <c r="D23" s="173">
        <f>('Historical Balance Sheet'!E23+'Historical Balance Sheet'!B23+'Proforma Balance Sheet'!B23)/3</f>
        <v>1515.5555555555557</v>
      </c>
      <c r="E23" s="210">
        <f>D23*(1+'Proforma Income Statement'!$G$13)</f>
        <v>1521.2635925027937</v>
      </c>
      <c r="F23" s="9"/>
      <c r="G23" s="173">
        <f>SUM(D23,B23,'Historical Balance Sheet'!B23)/3</f>
        <v>1518.7407407407409</v>
      </c>
      <c r="H23" s="210">
        <f>G23*(1+'Proforma Income Statement'!$K$13)</f>
        <v>1529.4798109745993</v>
      </c>
      <c r="I23" s="9"/>
      <c r="J23" s="173">
        <f t="shared" si="0"/>
        <v>1526.9876543209878</v>
      </c>
      <c r="K23" s="210">
        <f>J23*(1+'Proforma Income Statement'!$N$13)</f>
        <v>1542.5585463460111</v>
      </c>
    </row>
    <row r="24" spans="1:11" ht="15.75">
      <c r="A24" t="s">
        <v>50</v>
      </c>
      <c r="B24" s="24">
        <f>SUM('Historical Balance Sheet'!B24+'Historical Balance Sheet'!E24+'Historical Balance Sheet'!H24)/3</f>
        <v>593.66666666666663</v>
      </c>
      <c r="D24" s="173">
        <f>('Historical Balance Sheet'!E24+'Historical Balance Sheet'!B24+'Proforma Balance Sheet'!B24)/3</f>
        <v>618.22222222222217</v>
      </c>
      <c r="E24" s="210">
        <f>D24*(1+'Proforma Income Statement'!$G$13)</f>
        <v>620.55063260157942</v>
      </c>
      <c r="F24" s="9"/>
      <c r="G24" s="173">
        <f>SUM(D24,B24,'Historical Balance Sheet'!B24)/3</f>
        <v>605.62962962962956</v>
      </c>
      <c r="H24" s="210">
        <f>G24*(1+'Proforma Income Statement'!$K$13)</f>
        <v>609.91205845624154</v>
      </c>
      <c r="I24" s="9"/>
      <c r="J24" s="173">
        <f t="shared" si="0"/>
        <v>605.83950617283938</v>
      </c>
      <c r="K24" s="210">
        <f>J24*(1+'Proforma Income Statement'!$N$13)</f>
        <v>612.0173305373105</v>
      </c>
    </row>
    <row r="25" spans="1:11" ht="15.75">
      <c r="A25" t="s">
        <v>51</v>
      </c>
      <c r="B25" s="24">
        <f>SUM('Historical Balance Sheet'!B25+'Historical Balance Sheet'!E25+'Historical Balance Sheet'!H25)/3</f>
        <v>1901</v>
      </c>
      <c r="D25" s="173">
        <f>('Historical Balance Sheet'!E25+'Historical Balance Sheet'!B25+'Proforma Balance Sheet'!B25)/3</f>
        <v>1933</v>
      </c>
      <c r="E25" s="210">
        <f>D25*(1+'Proforma Income Statement'!$G$13)</f>
        <v>1940.2802579744209</v>
      </c>
      <c r="F25" s="9"/>
      <c r="G25" s="173">
        <f>SUM(D25,B25,'Historical Balance Sheet'!B25)/3</f>
        <v>1983.3333333333333</v>
      </c>
      <c r="H25" s="210">
        <f>G25*(1+'Proforma Income Statement'!$K$13)</f>
        <v>1997.3575544478804</v>
      </c>
      <c r="I25" s="9"/>
      <c r="J25" s="173">
        <f t="shared" si="0"/>
        <v>1939.1111111111111</v>
      </c>
      <c r="K25" s="210">
        <f>J25*(1+'Proforma Income Statement'!$N$13)</f>
        <v>1958.8844797105191</v>
      </c>
    </row>
    <row r="26" spans="1:11" ht="15.75">
      <c r="A26" t="s">
        <v>52</v>
      </c>
      <c r="B26" s="24">
        <f>SUM('Historical Balance Sheet'!B26+'Historical Balance Sheet'!E26+'Historical Balance Sheet'!H26)/3</f>
        <v>40</v>
      </c>
      <c r="D26" s="173">
        <f>('Historical Balance Sheet'!E26+'Historical Balance Sheet'!B26+'Proforma Balance Sheet'!B26)/3</f>
        <v>35.333333333333336</v>
      </c>
      <c r="E26" s="210">
        <f>D26*(1+'Proforma Income Statement'!$G$13)</f>
        <v>35.466409268027007</v>
      </c>
      <c r="F26" s="9"/>
      <c r="G26" s="173">
        <f>SUM(D26,B26,'Historical Balance Sheet'!B26)/3</f>
        <v>43.44444444444445</v>
      </c>
      <c r="H26" s="210">
        <f>G26*(1+'Proforma Income Statement'!$K$13)</f>
        <v>43.75164166885834</v>
      </c>
      <c r="I26" s="9"/>
      <c r="J26" s="173">
        <f t="shared" si="0"/>
        <v>39.592592592592595</v>
      </c>
      <c r="K26" s="210">
        <f>J26*(1+'Proforma Income Statement'!$N$13)</f>
        <v>39.996323416810775</v>
      </c>
    </row>
    <row r="27" spans="1:11" ht="15.75">
      <c r="A27" t="s">
        <v>53</v>
      </c>
      <c r="B27" s="24">
        <f>(SUM('Historical Balance Sheet'!B27+'Historical Balance Sheet'!E27+'Historical Balance Sheet'!H27)/3)</f>
        <v>1365.6666666666667</v>
      </c>
      <c r="D27" s="173">
        <f>('Historical Balance Sheet'!E27+'Historical Balance Sheet'!B27+'Proforma Balance Sheet'!B27)/3</f>
        <v>1420.2222222222224</v>
      </c>
      <c r="E27" s="210">
        <f>D27*(1+'Proforma Income Statement'!$G$13)</f>
        <v>1425.5712052324568</v>
      </c>
      <c r="F27" s="9"/>
      <c r="G27" s="173">
        <f>SUM(D27,B27,'Historical Balance Sheet'!B27)/3</f>
        <v>1541.6296296296296</v>
      </c>
      <c r="H27" s="210">
        <f>G27*(1+'Proforma Income Statement'!$K$13)</f>
        <v>1552.5305480175271</v>
      </c>
      <c r="I27" s="9"/>
      <c r="J27" s="173">
        <f t="shared" si="0"/>
        <v>1442.5061728395065</v>
      </c>
      <c r="K27" s="210">
        <f>J27*(1+'Proforma Income Statement'!$N$13)</f>
        <v>1457.2155961928352</v>
      </c>
    </row>
    <row r="28" spans="1:11" ht="15.75">
      <c r="A28" t="s">
        <v>54</v>
      </c>
      <c r="B28" s="24">
        <f>SUM('Historical Balance Sheet'!B28+'Historical Balance Sheet'!E28+'Historical Balance Sheet'!H28)/3</f>
        <v>276</v>
      </c>
      <c r="D28" s="173">
        <f>('Historical Balance Sheet'!E28+'Historical Balance Sheet'!B28+'Proforma Balance Sheet'!B28)/3</f>
        <v>368</v>
      </c>
      <c r="E28" s="210">
        <f>D28*(1+'Proforma Income Statement'!$G$13)</f>
        <v>369.38599841416806</v>
      </c>
      <c r="F28" s="9"/>
      <c r="G28" s="173">
        <f>SUM(D28,B28,'Historical Balance Sheet'!B28)/3</f>
        <v>490.66666666666669</v>
      </c>
      <c r="H28" s="210">
        <f>G28*(1+'Proforma Income Statement'!$K$13)</f>
        <v>494.13618826004705</v>
      </c>
      <c r="I28" s="9"/>
      <c r="J28" s="173">
        <f t="shared" si="0"/>
        <v>378.22222222222223</v>
      </c>
      <c r="K28" s="210">
        <f>J28*(1+'Proforma Income Statement'!$N$13)</f>
        <v>382.07900349155437</v>
      </c>
    </row>
    <row r="29" spans="1:11" ht="15.75">
      <c r="A29" t="s">
        <v>55</v>
      </c>
      <c r="B29" s="24">
        <f>SUM('Historical Balance Sheet'!B29+'Historical Balance Sheet'!E29+'Historical Balance Sheet'!H29)/3</f>
        <v>2486</v>
      </c>
      <c r="D29" s="173">
        <f>('Historical Balance Sheet'!E29+'Historical Balance Sheet'!B29+'Proforma Balance Sheet'!B29)/3</f>
        <v>2591.3333333333335</v>
      </c>
      <c r="E29" s="210">
        <f>D29*(1+'Proforma Income Statement'!$G$13)</f>
        <v>2601.0930721664336</v>
      </c>
      <c r="F29" s="9"/>
      <c r="G29" s="173">
        <f>SUM(D29,B29,'Historical Balance Sheet'!B29)/3</f>
        <v>2584.7777777777778</v>
      </c>
      <c r="H29" s="210">
        <f>G29*(1+'Proforma Income Statement'!$K$13)</f>
        <v>2603.054834124428</v>
      </c>
      <c r="I29" s="9"/>
      <c r="J29" s="173">
        <f t="shared" si="0"/>
        <v>2554.037037037037</v>
      </c>
      <c r="K29" s="210">
        <f>J29*(1+'Proforma Income Statement'!$N$13)</f>
        <v>2580.0808854067859</v>
      </c>
    </row>
    <row r="30" spans="1:11" ht="15.75">
      <c r="A30" s="4" t="s">
        <v>56</v>
      </c>
      <c r="B30" s="121">
        <f>SUM(B21:B29)</f>
        <v>17095</v>
      </c>
      <c r="C30" s="119"/>
      <c r="D30" s="178">
        <f>SUM(D21:D29)</f>
        <v>17395.333333333336</v>
      </c>
      <c r="E30" s="211">
        <f>SUM(E21:E29)</f>
        <v>17460.849377936389</v>
      </c>
      <c r="F30" s="175"/>
      <c r="G30" s="178">
        <f>SUM(G21:G29)</f>
        <v>17621.777777777777</v>
      </c>
      <c r="H30" s="211">
        <f>SUM(H21:H29)</f>
        <v>17746.382000292211</v>
      </c>
      <c r="I30" s="175"/>
      <c r="J30" s="178">
        <f>SUM(J21:J29)</f>
        <v>17370.703703703704</v>
      </c>
      <c r="K30" s="211">
        <f>SUM(K21:K29)</f>
        <v>17547.835032174935</v>
      </c>
    </row>
    <row r="31" spans="1:11" ht="15.75">
      <c r="A31" s="4"/>
      <c r="B31" s="24"/>
      <c r="D31" s="173"/>
      <c r="E31" s="174"/>
      <c r="F31" s="9"/>
      <c r="G31" s="173"/>
      <c r="H31" s="174"/>
      <c r="I31" s="9"/>
      <c r="J31" s="173"/>
      <c r="K31" s="174"/>
    </row>
    <row r="32" spans="1:11" ht="15.75">
      <c r="A32" t="s">
        <v>57</v>
      </c>
      <c r="B32" s="24">
        <f>SUM('Historical Balance Sheet'!B32+'Historical Balance Sheet'!E32+'Historical Balance Sheet'!H32)/3</f>
        <v>26581.333333333332</v>
      </c>
      <c r="D32" s="173">
        <f>('Historical Balance Sheet'!E32+'Historical Balance Sheet'!B32+'Proforma Balance Sheet'!B32)/3</f>
        <v>27352.777777777777</v>
      </c>
      <c r="E32" s="210">
        <f>D32*(1+'Proforma Income Statement'!$G$10)</f>
        <v>27366.659006570408</v>
      </c>
      <c r="F32" s="9"/>
      <c r="G32" s="173">
        <f>SUM(D32,B32,'Historical Balance Sheet'!B32)/3</f>
        <v>27534.703703703704</v>
      </c>
      <c r="H32" s="210">
        <f>G32*(1+'Proforma Income Statement'!$K$10)</f>
        <v>27561.956019646292</v>
      </c>
      <c r="I32" s="9"/>
      <c r="J32" s="173">
        <f t="shared" si="0"/>
        <v>27156.271604938273</v>
      </c>
      <c r="K32" s="210">
        <f>J32*(1+'Proforma Income Statement'!$N$10)</f>
        <v>27195.586887046276</v>
      </c>
    </row>
    <row r="33" spans="1:11" ht="15.75">
      <c r="A33" t="s">
        <v>58</v>
      </c>
      <c r="B33" s="24">
        <f>SUM('Historical Balance Sheet'!B33+'Historical Balance Sheet'!E33+'Historical Balance Sheet'!H33)/3</f>
        <v>1688.6666666666667</v>
      </c>
      <c r="D33" s="173">
        <f>('Historical Balance Sheet'!E33+'Historical Balance Sheet'!B33+'Proforma Balance Sheet'!B33)/3</f>
        <v>2251.5555555555557</v>
      </c>
      <c r="E33" s="210">
        <f>D33*(1+'Proforma Income Statement'!$G$10)</f>
        <v>2252.6981948172752</v>
      </c>
      <c r="F33" s="9"/>
      <c r="G33" s="173">
        <f>SUM(D33,B33,'Historical Balance Sheet'!B33)/3</f>
        <v>3002.0740740740744</v>
      </c>
      <c r="H33" s="210">
        <f>G33*(1+'Proforma Income Statement'!$K$10)</f>
        <v>3005.0453597661267</v>
      </c>
      <c r="I33" s="9"/>
      <c r="J33" s="173">
        <f t="shared" si="0"/>
        <v>2314.0987654320988</v>
      </c>
      <c r="K33" s="210">
        <f>J33*(1+'Proforma Income Statement'!$N$10)</f>
        <v>2317.4489840155734</v>
      </c>
    </row>
    <row r="34" spans="1:11" ht="15.75">
      <c r="A34" t="s">
        <v>59</v>
      </c>
      <c r="B34" s="24">
        <f>SUM('Historical Balance Sheet'!B34+'Historical Balance Sheet'!E34+'Historical Balance Sheet'!H34)/3</f>
        <v>545.66666666666663</v>
      </c>
      <c r="D34" s="173">
        <f>('Historical Balance Sheet'!E34+'Historical Balance Sheet'!B34+'Proforma Balance Sheet'!B34)/3</f>
        <v>580.8888888888888</v>
      </c>
      <c r="E34" s="210">
        <f>D34*(1+'Proforma Income Statement'!$G$10)</f>
        <v>581.18368350299613</v>
      </c>
      <c r="F34" s="9"/>
      <c r="G34" s="173">
        <f>SUM(D34,B34,'Historical Balance Sheet'!B34)/3</f>
        <v>610.85185185185185</v>
      </c>
      <c r="H34" s="210">
        <f>G34*(1+'Proforma Income Statement'!$K$10)</f>
        <v>611.45643898814058</v>
      </c>
      <c r="I34" s="9"/>
      <c r="J34" s="173">
        <f t="shared" si="0"/>
        <v>579.1358024691358</v>
      </c>
      <c r="K34" s="210">
        <f>J34*(1+'Proforma Income Statement'!$N$10)</f>
        <v>579.97424184638737</v>
      </c>
    </row>
    <row r="35" spans="1:11" ht="15.75">
      <c r="A35" t="s">
        <v>60</v>
      </c>
      <c r="B35" s="24">
        <f>SUM('Historical Balance Sheet'!B35+'Historical Balance Sheet'!E35+'Historical Balance Sheet'!H35)/3</f>
        <v>1858.6666666666667</v>
      </c>
      <c r="D35" s="173">
        <f>('Historical Balance Sheet'!E35+'Historical Balance Sheet'!B35+'Proforma Balance Sheet'!B35)/3</f>
        <v>1753.5555555555557</v>
      </c>
      <c r="E35" s="210">
        <f>D35*(1+'Proforma Income Statement'!$G$10)</f>
        <v>1754.4454653872008</v>
      </c>
      <c r="F35" s="9"/>
      <c r="G35" s="173">
        <f>SUM(D35,B35,'Historical Balance Sheet'!B35)/3</f>
        <v>1715.7407407407409</v>
      </c>
      <c r="H35" s="210">
        <f>G35*(1+'Proforma Income Statement'!$K$10)</f>
        <v>1717.4388853529142</v>
      </c>
      <c r="I35" s="9"/>
      <c r="J35" s="173">
        <f t="shared" si="0"/>
        <v>1775.9876543209878</v>
      </c>
      <c r="K35" s="210">
        <f>J35*(1+'Proforma Income Statement'!$N$10)</f>
        <v>1778.5588267067164</v>
      </c>
    </row>
    <row r="36" spans="1:11" ht="15.75">
      <c r="A36" s="4" t="s">
        <v>61</v>
      </c>
      <c r="B36" s="121">
        <f>SUM(B30:B35)</f>
        <v>47769.333333333321</v>
      </c>
      <c r="C36" s="119"/>
      <c r="D36" s="178">
        <f>SUM(D30:D35)</f>
        <v>49334.111111111109</v>
      </c>
      <c r="E36" s="211">
        <f>SUM(E30:E35)</f>
        <v>49415.835728214275</v>
      </c>
      <c r="F36" s="175"/>
      <c r="G36" s="178">
        <f>SUM(G30:G35)</f>
        <v>50485.148148148146</v>
      </c>
      <c r="H36" s="211">
        <f>SUM(H30:H35)</f>
        <v>50642.278704045682</v>
      </c>
      <c r="I36" s="175"/>
      <c r="J36" s="178">
        <f>SUM(J30:J35)</f>
        <v>49196.197530864207</v>
      </c>
      <c r="K36" s="211">
        <f>SUM(K30:K35)</f>
        <v>49419.403971789885</v>
      </c>
    </row>
    <row r="37" spans="1:11" ht="15.75">
      <c r="A37" t="s">
        <v>62</v>
      </c>
      <c r="B37" s="24"/>
      <c r="D37" s="173"/>
      <c r="E37" s="174"/>
      <c r="F37" s="9"/>
      <c r="G37" s="173"/>
      <c r="H37" s="174"/>
      <c r="I37" s="9"/>
      <c r="J37" s="173"/>
      <c r="K37" s="174"/>
    </row>
    <row r="38" spans="1:11" ht="15.75">
      <c r="A38" t="s">
        <v>63</v>
      </c>
      <c r="B38" s="24">
        <f>'Historical Balance Sheet'!B38</f>
        <v>89</v>
      </c>
      <c r="D38" s="173">
        <f>('Historical Balance Sheet'!E38+'Historical Balance Sheet'!B38+'Proforma Balance Sheet'!B38)/3</f>
        <v>89</v>
      </c>
      <c r="E38" s="210">
        <f>D38</f>
        <v>89</v>
      </c>
      <c r="F38" s="9"/>
      <c r="G38" s="173">
        <f>SUM(D38,B38,'Historical Balance Sheet'!B38)/3</f>
        <v>89</v>
      </c>
      <c r="H38" s="210">
        <f>G38</f>
        <v>89</v>
      </c>
      <c r="I38" s="9"/>
      <c r="J38" s="173">
        <f t="shared" si="0"/>
        <v>89</v>
      </c>
      <c r="K38" s="210">
        <f>J38</f>
        <v>89</v>
      </c>
    </row>
    <row r="39" spans="1:11" ht="15.75">
      <c r="A39" t="s">
        <v>64</v>
      </c>
      <c r="B39" s="24">
        <f>SUM('Historical Balance Sheet'!B39+'Historical Balance Sheet'!E39+'Historical Balance Sheet'!H39)/3</f>
        <v>10590.333333333334</v>
      </c>
      <c r="D39" s="173">
        <f>('Historical Balance Sheet'!E39+'Historical Balance Sheet'!B39+'Proforma Balance Sheet'!B39)/3</f>
        <v>10723.111111111111</v>
      </c>
      <c r="E39" s="210">
        <f>D39</f>
        <v>10723.111111111111</v>
      </c>
      <c r="F39" s="9"/>
      <c r="G39" s="173">
        <f>SUM(D39,B39,'Historical Balance Sheet'!B39)/3</f>
        <v>10771.481481481482</v>
      </c>
      <c r="H39" s="210">
        <f>G39</f>
        <v>10771.481481481482</v>
      </c>
      <c r="I39" s="9"/>
      <c r="J39" s="173">
        <f t="shared" si="0"/>
        <v>10694.975308641975</v>
      </c>
      <c r="K39" s="210">
        <f>J39</f>
        <v>10694.975308641975</v>
      </c>
    </row>
    <row r="40" spans="1:11" ht="15.75">
      <c r="A40" t="s">
        <v>65</v>
      </c>
      <c r="B40" s="24">
        <f>'Proforma Income Statement'!B24+'Historical Balance Sheet'!B40+'Historical Stmt of Cash Flows '!B34</f>
        <v>57286.549550000003</v>
      </c>
      <c r="D40" s="173">
        <f>B40+'Proforma Income Statement'!D24+'Proforma Stmt of Csh Flows'!D34</f>
        <v>62834.087838750005</v>
      </c>
      <c r="E40" s="210">
        <f>B40+'Proforma Stmt of Csh Flows'!E34+'Proforma Income Statement'!F24</f>
        <v>63110.376592750006</v>
      </c>
      <c r="F40" s="9"/>
      <c r="G40" s="173">
        <f>D40+'Proforma Income Statement'!H24+'Proforma Stmt of Csh Flows'!G34</f>
        <v>68363.917084718749</v>
      </c>
      <c r="H40" s="210">
        <f>E40+'Proforma Income Statement'!J24+'Proforma Stmt of Csh Flows'!H34</f>
        <v>69196.792596718748</v>
      </c>
      <c r="I40" s="9"/>
      <c r="J40" s="173">
        <f>G40+'Proforma Income Statement'!L24+'Proforma Stmt of Csh Flows'!J34</f>
        <v>73742.324036502323</v>
      </c>
      <c r="K40" s="210">
        <f>H40+'Proforma Stmt of Csh Flows'!K34+'Proforma Income Statement'!M24</f>
        <v>75537.960138836715</v>
      </c>
    </row>
    <row r="41" spans="1:11" ht="15.75">
      <c r="A41" t="s">
        <v>66</v>
      </c>
      <c r="B41" s="24">
        <f>SUM('Historical Balance Sheet'!B41+'Historical Balance Sheet'!E41+'Historical Balance Sheet'!H41)/3</f>
        <v>-692.33333333333337</v>
      </c>
      <c r="D41" s="173">
        <f>('Historical Balance Sheet'!E41+'Historical Balance Sheet'!B41+'Proforma Balance Sheet'!B41)/3</f>
        <v>-734.44444444444446</v>
      </c>
      <c r="E41" s="210">
        <f>D41</f>
        <v>-734.44444444444446</v>
      </c>
      <c r="F41" s="9"/>
      <c r="G41" s="173">
        <f>SUM(D41,B41,'Historical Balance Sheet'!B41)/3</f>
        <v>-721.92592592592598</v>
      </c>
      <c r="H41" s="210">
        <f>G41</f>
        <v>-721.92592592592598</v>
      </c>
      <c r="I41" s="9"/>
      <c r="J41" s="173">
        <f t="shared" si="0"/>
        <v>-716.23456790123464</v>
      </c>
      <c r="K41" s="210">
        <f>J41</f>
        <v>-716.23456790123464</v>
      </c>
    </row>
    <row r="42" spans="1:11" ht="15.75">
      <c r="A42" t="s">
        <v>152</v>
      </c>
      <c r="B42" s="24">
        <f>'Historical Balance Sheet'!B42-3000</f>
        <v>-68196</v>
      </c>
      <c r="D42" s="173">
        <f>B42-3000</f>
        <v>-71196</v>
      </c>
      <c r="E42" s="210">
        <f>D42</f>
        <v>-71196</v>
      </c>
      <c r="F42" s="9"/>
      <c r="G42" s="173">
        <f>D42-6000</f>
        <v>-77196</v>
      </c>
      <c r="H42" s="210">
        <f>G42</f>
        <v>-77196</v>
      </c>
      <c r="I42" s="9"/>
      <c r="J42" s="173">
        <f>G42-5000</f>
        <v>-82196</v>
      </c>
      <c r="K42" s="210">
        <f>J42</f>
        <v>-82196</v>
      </c>
    </row>
    <row r="43" spans="1:11" ht="15.75">
      <c r="A43" t="s">
        <v>68</v>
      </c>
      <c r="B43" s="33">
        <f>SUM(B38:B42)</f>
        <v>-922.45044999998936</v>
      </c>
      <c r="C43" s="119"/>
      <c r="D43" s="178">
        <f>SUM(D38:D42)</f>
        <v>1715.754505416684</v>
      </c>
      <c r="E43" s="211">
        <f>SUM(E38:E42)</f>
        <v>1992.0432594166778</v>
      </c>
      <c r="F43" s="175"/>
      <c r="G43" s="178">
        <f>SUM(G38:G42)</f>
        <v>1306.4726402742963</v>
      </c>
      <c r="H43" s="211">
        <f>SUM(H38:H42)</f>
        <v>2139.348152274295</v>
      </c>
      <c r="I43" s="175"/>
      <c r="J43" s="178">
        <f>SUM(J38:J42)</f>
        <v>1614.0647772430675</v>
      </c>
      <c r="K43" s="211">
        <f>SUM(K38:K42)</f>
        <v>3409.70087957746</v>
      </c>
    </row>
    <row r="44" spans="1:11" ht="15.75">
      <c r="A44" s="4" t="s">
        <v>69</v>
      </c>
      <c r="B44" s="26">
        <f>(B36+B43)</f>
        <v>46846.882883333332</v>
      </c>
      <c r="C44" s="120"/>
      <c r="D44" s="185">
        <f>D36+D43</f>
        <v>51049.865616527793</v>
      </c>
      <c r="E44" s="186">
        <f>E43+E36</f>
        <v>51407.878987630953</v>
      </c>
      <c r="F44" s="104"/>
      <c r="G44" s="185">
        <f>G36+G43</f>
        <v>51791.620788422442</v>
      </c>
      <c r="H44" s="186">
        <f>H36+H43</f>
        <v>52781.626856319977</v>
      </c>
      <c r="I44" s="104"/>
      <c r="J44" s="185">
        <f>J43+J36</f>
        <v>50810.262308107274</v>
      </c>
      <c r="K44" s="212">
        <f>K43+K36</f>
        <v>52829.104851367345</v>
      </c>
    </row>
    <row r="45" spans="1:11" ht="15.75">
      <c r="B45" s="8">
        <f>B44-B18</f>
        <v>-0.4504499999966356</v>
      </c>
      <c r="C45" s="8"/>
      <c r="D45" s="177">
        <f t="shared" ref="C45:K45" si="1">D44-D18</f>
        <v>2.1172083354031201E-2</v>
      </c>
      <c r="E45" s="177">
        <f t="shared" si="1"/>
        <v>-0.28727852328302106</v>
      </c>
      <c r="F45" s="177"/>
      <c r="G45" s="177">
        <f t="shared" si="1"/>
        <v>2.8195829851028975E-2</v>
      </c>
      <c r="H45" s="177">
        <f t="shared" si="1"/>
        <v>0.10258983175299363</v>
      </c>
      <c r="I45" s="177"/>
      <c r="J45" s="177">
        <f t="shared" si="1"/>
        <v>0.47218465048354119</v>
      </c>
      <c r="K45" s="177">
        <f t="shared" si="1"/>
        <v>5.6540746372775175E-3</v>
      </c>
    </row>
  </sheetData>
  <mergeCells count="7">
    <mergeCell ref="A1:K1"/>
    <mergeCell ref="A2:K2"/>
    <mergeCell ref="A3:K3"/>
    <mergeCell ref="A4:K4"/>
    <mergeCell ref="D5:E5"/>
    <mergeCell ref="G5:H5"/>
    <mergeCell ref="J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8EE3-2070-4A4F-9398-8DA7721FDA03}">
  <dimension ref="A1:K41"/>
  <sheetViews>
    <sheetView zoomScale="75" workbookViewId="0">
      <pane xSplit="1" topLeftCell="B15" activePane="topRight" state="frozen"/>
      <selection pane="topRight" activeCell="E35" sqref="E35"/>
    </sheetView>
  </sheetViews>
  <sheetFormatPr defaultColWidth="11" defaultRowHeight="15.95"/>
  <cols>
    <col min="1" max="1" width="60.625" customWidth="1"/>
    <col min="2" max="2" width="24.125" customWidth="1"/>
    <col min="3" max="3" width="6.5" customWidth="1"/>
    <col min="4" max="4" width="21.125" customWidth="1"/>
    <col min="5" max="5" width="18.625" customWidth="1"/>
    <col min="6" max="6" width="6.375" customWidth="1"/>
    <col min="7" max="7" width="22.125" customWidth="1"/>
    <col min="8" max="8" width="21.5" customWidth="1"/>
    <col min="9" max="9" width="6.125" customWidth="1"/>
    <col min="10" max="10" width="22.625" customWidth="1"/>
    <col min="11" max="11" width="21.875" customWidth="1"/>
  </cols>
  <sheetData>
    <row r="1" spans="1:11">
      <c r="A1" s="224" t="s">
        <v>153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>
      <c r="A2" s="224" t="s">
        <v>154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>
      <c r="A3" s="224" t="s">
        <v>151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>
      <c r="A4" s="224" t="s">
        <v>155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 ht="15.75">
      <c r="B5" s="170" t="s">
        <v>142</v>
      </c>
      <c r="C5" s="115"/>
      <c r="D5" s="223">
        <v>2023</v>
      </c>
      <c r="E5" s="223"/>
      <c r="F5" s="115"/>
      <c r="G5" s="223">
        <v>2024</v>
      </c>
      <c r="H5" s="223"/>
      <c r="I5" s="115"/>
      <c r="J5" s="223">
        <v>2025</v>
      </c>
      <c r="K5" s="223"/>
    </row>
    <row r="6" spans="1:11" ht="15.75">
      <c r="A6" s="5"/>
      <c r="C6" s="116"/>
      <c r="D6" s="116" t="s">
        <v>147</v>
      </c>
      <c r="E6" s="116" t="s">
        <v>148</v>
      </c>
      <c r="F6" s="116"/>
      <c r="G6" s="116" t="s">
        <v>147</v>
      </c>
      <c r="H6" s="116" t="s">
        <v>148</v>
      </c>
      <c r="I6" s="116"/>
      <c r="J6" s="116" t="s">
        <v>147</v>
      </c>
      <c r="K6" s="116" t="s">
        <v>148</v>
      </c>
    </row>
    <row r="7" spans="1:11">
      <c r="A7" t="s">
        <v>74</v>
      </c>
      <c r="B7" s="10"/>
      <c r="D7" s="117"/>
      <c r="E7" s="118"/>
      <c r="G7" s="117"/>
      <c r="H7" s="118"/>
      <c r="J7" s="117"/>
      <c r="K7" s="118"/>
    </row>
    <row r="8" spans="1:11">
      <c r="A8" t="s">
        <v>75</v>
      </c>
      <c r="B8" s="71">
        <f>'Proforma Income Statement'!B24</f>
        <v>11515.549550000003</v>
      </c>
      <c r="D8" s="230">
        <f>'Proforma Income Statement'!D24</f>
        <v>11803.438288749996</v>
      </c>
      <c r="E8" s="123">
        <f>'Proforma Income Statement'!F24</f>
        <v>12079.727042750003</v>
      </c>
      <c r="F8" s="199"/>
      <c r="G8" s="230">
        <f>'Proforma Income Statement'!H24</f>
        <v>12098.524245968749</v>
      </c>
      <c r="H8" s="123">
        <f>'Proforma Income Statement'!J24</f>
        <v>12655.111003968752</v>
      </c>
      <c r="I8" s="199"/>
      <c r="J8" s="230">
        <f>'Proforma Income Statement'!L24</f>
        <v>12275.536701783587</v>
      </c>
      <c r="K8" s="123">
        <f>'Proforma Income Statement'!M24</f>
        <v>13238.297292117972</v>
      </c>
    </row>
    <row r="9" spans="1:11">
      <c r="A9" t="s">
        <v>76</v>
      </c>
      <c r="B9" s="172"/>
      <c r="D9" s="117"/>
      <c r="E9" s="118"/>
      <c r="G9" s="117"/>
      <c r="H9" s="118"/>
      <c r="J9" s="117"/>
      <c r="K9" s="118"/>
    </row>
    <row r="10" spans="1:11">
      <c r="A10" t="s">
        <v>17</v>
      </c>
      <c r="B10" s="172">
        <f>SUM('Historical Stmt of Cash Flows '!B10+'Historical Stmt of Cash Flows '!E10+'Historical Stmt of Cash Flows '!H10)/3</f>
        <v>2170</v>
      </c>
      <c r="D10" s="227">
        <f>SUM(B10+'Historical Stmt of Cash Flows '!B10+'Historical Stmt of Cash Flows '!E10)/3</f>
        <v>2206</v>
      </c>
      <c r="E10" s="140">
        <f>D10</f>
        <v>2206</v>
      </c>
      <c r="G10" s="227">
        <f>SUM(D10+B10+'Historical Stmt of Cash Flows '!B10)/3</f>
        <v>2224</v>
      </c>
      <c r="H10" s="140">
        <f>G10</f>
        <v>2224</v>
      </c>
      <c r="J10" s="227">
        <f>SUM(G10+D10+B10)/3</f>
        <v>2200</v>
      </c>
      <c r="K10" s="140">
        <f>J10</f>
        <v>2200</v>
      </c>
    </row>
    <row r="11" spans="1:11">
      <c r="A11" t="s">
        <v>77</v>
      </c>
      <c r="B11" s="172">
        <f>SUM('Historical Stmt of Cash Flows '!B11+'Historical Stmt of Cash Flows '!E11+'Historical Stmt of Cash Flows '!H11)/3</f>
        <v>268.66666666666669</v>
      </c>
      <c r="D11" s="227">
        <f>SUM(B11+'Historical Stmt of Cash Flows '!B11+'Historical Stmt of Cash Flows '!E11)/3</f>
        <v>267.22222222222223</v>
      </c>
      <c r="E11" s="140">
        <f>D11</f>
        <v>267.22222222222223</v>
      </c>
      <c r="G11" s="227">
        <f>SUM(D11+B11+'Historical Stmt of Cash Flows '!B11)/3</f>
        <v>262.2962962962963</v>
      </c>
      <c r="H11" s="140">
        <f>G11</f>
        <v>262.2962962962963</v>
      </c>
      <c r="J11" s="227">
        <f>SUM(G11+D11+B11)/3</f>
        <v>266.06172839506172</v>
      </c>
      <c r="K11" s="140">
        <f>J11</f>
        <v>266.06172839506172</v>
      </c>
    </row>
    <row r="12" spans="1:11" ht="15.75">
      <c r="A12" t="s">
        <v>18</v>
      </c>
      <c r="B12" s="172">
        <v>0</v>
      </c>
      <c r="D12" s="227">
        <v>0</v>
      </c>
      <c r="E12" s="140">
        <v>0</v>
      </c>
      <c r="G12" s="227">
        <v>0</v>
      </c>
      <c r="H12" s="140">
        <v>0</v>
      </c>
      <c r="J12" s="227">
        <v>0</v>
      </c>
      <c r="K12" s="140">
        <v>0</v>
      </c>
    </row>
    <row r="13" spans="1:11">
      <c r="A13" t="s">
        <v>78</v>
      </c>
      <c r="B13" s="172">
        <f>'Historical Balance Sheet'!B9-'Proforma Balance Sheet'!B9</f>
        <v>108</v>
      </c>
      <c r="D13" s="227">
        <f>'Proforma Balance Sheet'!B9-'Proforma Balance Sheet'!D9</f>
        <v>-15.333333333333258</v>
      </c>
      <c r="E13" s="140">
        <f>'Proforma Balance Sheet'!B9-'Proforma Balance Sheet'!E9</f>
        <v>-23.304954984700771</v>
      </c>
      <c r="G13" s="227">
        <f>'Proforma Balance Sheet'!D9-'Proforma Balance Sheet'!G9</f>
        <v>-25.777777777777828</v>
      </c>
      <c r="H13" s="140">
        <f>'Proforma Balance Sheet'!E9-'Proforma Balance Sheet'!H9</f>
        <v>-33.500581403063961</v>
      </c>
      <c r="J13" s="227">
        <f>'Proforma Balance Sheet'!G9-'Proforma Balance Sheet'!J9</f>
        <v>22.296296296296305</v>
      </c>
      <c r="K13" s="140">
        <f>'Proforma Balance Sheet'!H9-'Proforma Balance Sheet'!K9</f>
        <v>15.355139207609682</v>
      </c>
    </row>
    <row r="14" spans="1:11">
      <c r="A14" t="s">
        <v>79</v>
      </c>
      <c r="B14" s="172">
        <f>'Historical Balance Sheet'!B10-'Proforma Balance Sheet'!B10</f>
        <v>796.33333333333394</v>
      </c>
      <c r="D14" s="227">
        <f>'Proforma Balance Sheet'!B10-'Proforma Balance Sheet'!D10</f>
        <v>-328.88888888888869</v>
      </c>
      <c r="E14" s="140">
        <f>'Proforma Balance Sheet'!B10-'Proforma Balance Sheet'!E10</f>
        <v>-384.57233787657606</v>
      </c>
      <c r="G14" s="227">
        <f>'Proforma Balance Sheet'!D10-'Proforma Balance Sheet'!G10</f>
        <v>-46.185185185184309</v>
      </c>
      <c r="H14" s="140">
        <f>'Proforma Balance Sheet'!E10-'Proforma Balance Sheet'!H10</f>
        <v>-99.100169368630304</v>
      </c>
      <c r="J14" s="227">
        <f>'Proforma Balance Sheet'!G10-'Proforma Balance Sheet'!J10</f>
        <v>140.41975308642031</v>
      </c>
      <c r="K14" s="140">
        <f>'Proforma Balance Sheet'!H10-'Proforma Balance Sheet'!K10</f>
        <v>92.234472908561656</v>
      </c>
    </row>
    <row r="15" spans="1:11">
      <c r="A15" t="s">
        <v>80</v>
      </c>
      <c r="B15" s="172">
        <f>'Historical Balance Sheet'!B11-'Proforma Balance Sheet'!B11</f>
        <v>184</v>
      </c>
      <c r="D15" s="227">
        <f>'Proforma Balance Sheet'!B11-'Proforma Balance Sheet'!D11</f>
        <v>-72.666666666666629</v>
      </c>
      <c r="E15" s="140">
        <f>'Proforma Balance Sheet'!B11-'Proforma Balance Sheet'!E11</f>
        <v>-76.343643143605277</v>
      </c>
      <c r="G15" s="227">
        <f>'Proforma Balance Sheet'!D11-'Proforma Balance Sheet'!G11</f>
        <v>-12.888888888888914</v>
      </c>
      <c r="H15" s="140">
        <f>'Proforma Balance Sheet'!E11-'Proforma Balance Sheet'!H11</f>
        <v>-16.458782496647586</v>
      </c>
      <c r="J15" s="227">
        <f>'Proforma Balance Sheet'!G11-'Proforma Balance Sheet'!J11</f>
        <v>32.814814814814781</v>
      </c>
      <c r="K15" s="140">
        <f>'Proforma Balance Sheet'!H11-'Proforma Balance Sheet'!K11</f>
        <v>29.862495695486814</v>
      </c>
    </row>
    <row r="16" spans="1:11">
      <c r="A16" t="s">
        <v>81</v>
      </c>
      <c r="B16" s="172">
        <f>'Proforma Balance Sheet'!B22-'Historical Balance Sheet'!B22</f>
        <v>-191.66666666666697</v>
      </c>
      <c r="D16" s="227">
        <f>'Proforma Balance Sheet'!D22-'Proforma Balance Sheet'!B22</f>
        <v>117.11111111111131</v>
      </c>
      <c r="E16" s="140">
        <f>'Proforma Balance Sheet'!E22-'Proforma Balance Sheet'!B22</f>
        <v>146.15849091915334</v>
      </c>
      <c r="G16" s="227">
        <f>'Proforma Balance Sheet'!G22-'Proforma Balance Sheet'!D22</f>
        <v>-14.185185185185219</v>
      </c>
      <c r="H16" s="140">
        <f>'Proforma Balance Sheet'!H22-'Proforma Balance Sheet'!E22</f>
        <v>11.202102258349441</v>
      </c>
      <c r="J16" s="227">
        <f>'Proforma Balance Sheet'!J22-'Proforma Balance Sheet'!G22</f>
        <v>-29.580246913580595</v>
      </c>
      <c r="K16" s="140">
        <f>'Proforma Balance Sheet'!K22-'Proforma Balance Sheet'!H22</f>
        <v>-5.8163953114499236</v>
      </c>
    </row>
    <row r="17" spans="1:11">
      <c r="A17" t="s">
        <v>82</v>
      </c>
      <c r="B17" s="172">
        <f>'Proforma Balance Sheet'!B25-'Historical Balance Sheet'!B25</f>
        <v>-215</v>
      </c>
      <c r="D17" s="227">
        <f>'Proforma Balance Sheet'!D25-'Proforma Balance Sheet'!B25</f>
        <v>32</v>
      </c>
      <c r="E17" s="140">
        <f>'Proforma Balance Sheet'!E25-'Proforma Balance Sheet'!B25</f>
        <v>39.28025797442092</v>
      </c>
      <c r="G17" s="227">
        <f>'Proforma Balance Sheet'!G25-'Proforma Balance Sheet'!D25</f>
        <v>50.333333333333258</v>
      </c>
      <c r="H17" s="140">
        <f>'Proforma Balance Sheet'!H25-'Proforma Balance Sheet'!E25</f>
        <v>57.077296473459455</v>
      </c>
      <c r="J17" s="227">
        <f>'Proforma Balance Sheet'!J25-'Proforma Balance Sheet'!G25</f>
        <v>-44.222222222222172</v>
      </c>
      <c r="K17" s="140">
        <f>'Proforma Balance Sheet'!K25-'Proforma Balance Sheet'!H25</f>
        <v>-38.47307473736123</v>
      </c>
    </row>
    <row r="18" spans="1:11">
      <c r="A18" t="s">
        <v>83</v>
      </c>
      <c r="B18" s="172">
        <f>'Proforma Balance Sheet'!B26-'Historical Balance Sheet'!B26</f>
        <v>-15</v>
      </c>
      <c r="D18" s="227">
        <f>'Proforma Balance Sheet'!D26-'Proforma Balance Sheet'!B26</f>
        <v>-4.6666666666666643</v>
      </c>
      <c r="E18" s="140">
        <f>'Proforma Balance Sheet'!E26-'Proforma Balance Sheet'!B26</f>
        <v>-4.5335907319729927</v>
      </c>
      <c r="G18" s="227">
        <f>'Proforma Balance Sheet'!G26-'Proforma Balance Sheet'!D26</f>
        <v>8.1111111111111143</v>
      </c>
      <c r="H18" s="140">
        <f>'Proforma Balance Sheet'!H26-'Proforma Balance Sheet'!E26</f>
        <v>8.2852324008313332</v>
      </c>
      <c r="J18" s="227">
        <f>'Proforma Balance Sheet'!J26-'Proforma Balance Sheet'!G26</f>
        <v>-3.8518518518518547</v>
      </c>
      <c r="K18" s="140">
        <f>'Proforma Balance Sheet'!K26-'Proforma Balance Sheet'!H26</f>
        <v>-3.7553182520475659</v>
      </c>
    </row>
    <row r="19" spans="1:11">
      <c r="A19" t="s">
        <v>84</v>
      </c>
      <c r="B19" s="172">
        <f>'Proforma Balance Sheet'!B34-'Historical Balance Sheet'!B34</f>
        <v>-160.33333333333337</v>
      </c>
      <c r="D19" s="227">
        <f>'Proforma Balance Sheet'!B34-'Proforma Balance Sheet'!D34</f>
        <v>-35.222222222222172</v>
      </c>
      <c r="E19" s="140">
        <f>'Proforma Balance Sheet'!B34-'Proforma Balance Sheet'!E34</f>
        <v>-35.517016836329503</v>
      </c>
      <c r="G19" s="227">
        <f>'Proforma Balance Sheet'!G34-'Proforma Balance Sheet'!D34</f>
        <v>29.962962962963047</v>
      </c>
      <c r="H19" s="140">
        <f>'Proforma Balance Sheet'!H34-'Proforma Balance Sheet'!E34</f>
        <v>30.272755485144444</v>
      </c>
      <c r="J19" s="227">
        <f>'Proforma Balance Sheet'!J34-'Proforma Balance Sheet'!G34</f>
        <v>-31.716049382716051</v>
      </c>
      <c r="K19" s="140">
        <f>'Proforma Balance Sheet'!K34-'Proforma Balance Sheet'!H34</f>
        <v>-31.482197141753204</v>
      </c>
    </row>
    <row r="20" spans="1:11">
      <c r="A20" t="s">
        <v>85</v>
      </c>
      <c r="B20" s="172">
        <f>'Proforma Balance Sheet'!B35-'Historical Balance Sheet'!B35</f>
        <v>323.66666666666674</v>
      </c>
      <c r="D20" s="227">
        <f>'Proforma Balance Sheet'!B35-'Proforma Balance Sheet'!D35</f>
        <v>105.11111111111109</v>
      </c>
      <c r="E20" s="140">
        <f>'Proforma Balance Sheet'!B35-'Proforma Balance Sheet'!E35</f>
        <v>104.22120127946596</v>
      </c>
      <c r="G20" s="227">
        <f>'Proforma Balance Sheet'!G35-'Proforma Balance Sheet'!D35</f>
        <v>-37.814814814814781</v>
      </c>
      <c r="H20" s="140">
        <f>'Proforma Balance Sheet'!H35-'Proforma Balance Sheet'!E35</f>
        <v>-37.006580034286571</v>
      </c>
      <c r="J20" s="227">
        <f>'Proforma Balance Sheet'!J35-'Proforma Balance Sheet'!G35</f>
        <v>60.246913580246883</v>
      </c>
      <c r="K20" s="140">
        <f>'Proforma Balance Sheet'!K35-'Proforma Balance Sheet'!H35</f>
        <v>61.119941353802233</v>
      </c>
    </row>
    <row r="21" spans="1:11">
      <c r="A21" t="s">
        <v>86</v>
      </c>
      <c r="B21" s="216">
        <f>SUM(B8:B20)</f>
        <v>14784.216216666668</v>
      </c>
      <c r="C21" s="119"/>
      <c r="D21" s="229">
        <f>SUM(D8:D20)</f>
        <v>14074.104955416664</v>
      </c>
      <c r="E21" s="141">
        <f>SUM(E8:E20)</f>
        <v>14318.337671572081</v>
      </c>
      <c r="F21" s="119"/>
      <c r="G21" s="229">
        <f>SUM(G8:G20)</f>
        <v>14536.376097820605</v>
      </c>
      <c r="H21" s="141">
        <f>SUM(H8:H20)</f>
        <v>15062.1785735802</v>
      </c>
      <c r="I21" s="119"/>
      <c r="J21" s="229">
        <f>SUM(J8:J20)</f>
        <v>14888.005837586055</v>
      </c>
      <c r="K21" s="141">
        <f>SUM(K8:K20)</f>
        <v>15823.404084235881</v>
      </c>
    </row>
    <row r="22" spans="1:11">
      <c r="A22" t="s">
        <v>87</v>
      </c>
      <c r="B22" s="172"/>
      <c r="D22" s="227"/>
      <c r="E22" s="140"/>
      <c r="G22" s="227"/>
      <c r="H22" s="140"/>
      <c r="J22" s="227"/>
      <c r="K22" s="140"/>
    </row>
    <row r="23" spans="1:11">
      <c r="A23" t="s">
        <v>88</v>
      </c>
      <c r="B23" s="172">
        <f>SUM('Historical Stmt of Cash Flows '!B23+'Historical Stmt of Cash Flows '!E23+'Historical Stmt of Cash Flows '!H23)/3</f>
        <v>-2339</v>
      </c>
      <c r="D23" s="227">
        <f>(SUM(B23,'Historical Stmt of Cash Flows '!B23+'Historical Stmt of Cash Flows '!E23)/3)-341</f>
        <v>-2827.3333333333335</v>
      </c>
      <c r="E23" s="140">
        <f>D23-101</f>
        <v>-2928.3333333333335</v>
      </c>
      <c r="G23" s="227">
        <f>SUM(D23,'Historical Stmt of Cash Flows '!B23,B23)/3</f>
        <v>-2614.7777777777778</v>
      </c>
      <c r="H23" s="140">
        <f>SUM(E23,B23,'Historical Stmt of Cash Flows '!B23)/3</f>
        <v>-2648.4444444444448</v>
      </c>
      <c r="J23" s="227">
        <f>(SUM(G23,D23,B23)/3)-394</f>
        <v>-2987.7037037037039</v>
      </c>
      <c r="K23" s="140">
        <f>(SUM(H23,E23,B23)/3)-423</f>
        <v>-3061.5925925925926</v>
      </c>
    </row>
    <row r="24" spans="1:11" ht="15.75">
      <c r="A24" t="s">
        <v>89</v>
      </c>
      <c r="B24" s="172">
        <v>0</v>
      </c>
      <c r="D24" s="227">
        <f>0</f>
        <v>0</v>
      </c>
      <c r="E24" s="140">
        <f>0</f>
        <v>0</v>
      </c>
      <c r="G24" s="227">
        <v>0</v>
      </c>
      <c r="H24" s="140">
        <v>0</v>
      </c>
      <c r="J24" s="227">
        <v>0</v>
      </c>
      <c r="K24" s="140">
        <v>0</v>
      </c>
    </row>
    <row r="25" spans="1:11">
      <c r="A25" t="s">
        <v>90</v>
      </c>
      <c r="B25" s="172">
        <f>SUM('Historical Stmt of Cash Flows '!B25+'Historical Stmt of Cash Flows '!E25+'Historical Stmt of Cash Flows '!H25)/3</f>
        <v>39</v>
      </c>
      <c r="D25" s="227">
        <f>SUM(B25+'Historical Stmt of Cash Flows '!B25+'Historical Stmt of Cash Flows '!E25)/3</f>
        <v>36.333333333333336</v>
      </c>
      <c r="E25" s="140">
        <f>D25</f>
        <v>36.333333333333336</v>
      </c>
      <c r="G25" s="227">
        <f>SUM(D25,B25,'Historical Stmt of Cash Flows '!B25)/3</f>
        <v>37.44444444444445</v>
      </c>
      <c r="H25" s="140">
        <f>G25</f>
        <v>37.44444444444445</v>
      </c>
      <c r="J25" s="227">
        <f>SUM(G25,D25,B25)/3</f>
        <v>37.592592592592595</v>
      </c>
      <c r="K25" s="140">
        <f>SUM(H25,E25,B25)/3</f>
        <v>37.592592592592595</v>
      </c>
    </row>
    <row r="26" spans="1:11">
      <c r="A26" t="s">
        <v>91</v>
      </c>
      <c r="B26" s="172">
        <f>SUM('Historical Stmt of Cash Flows '!B26+'Historical Stmt of Cash Flows '!E26+'Historical Stmt of Cash Flows '!H26)/3</f>
        <v>-0.66666666666666663</v>
      </c>
      <c r="D26" s="227">
        <v>0</v>
      </c>
      <c r="E26" s="140">
        <f>D26</f>
        <v>0</v>
      </c>
      <c r="G26" s="227">
        <v>0</v>
      </c>
      <c r="H26" s="140">
        <v>0</v>
      </c>
      <c r="J26" s="227">
        <v>0</v>
      </c>
      <c r="K26" s="140">
        <v>0</v>
      </c>
    </row>
    <row r="27" spans="1:11">
      <c r="A27" t="s">
        <v>92</v>
      </c>
      <c r="B27" s="216">
        <f>SUM(B23:B26)</f>
        <v>-2300.6666666666665</v>
      </c>
      <c r="C27" s="119"/>
      <c r="D27" s="229">
        <f>SUM(D23:D26)</f>
        <v>-2791</v>
      </c>
      <c r="E27" s="141">
        <f>SUM(E23:E26)</f>
        <v>-2892</v>
      </c>
      <c r="F27" s="119"/>
      <c r="G27" s="229">
        <f>SUM(G23:G26)</f>
        <v>-2577.3333333333335</v>
      </c>
      <c r="H27" s="141">
        <f>SUM(H23:H26)</f>
        <v>-2611.0000000000005</v>
      </c>
      <c r="I27" s="119"/>
      <c r="J27" s="229">
        <f>SUM(J23:J26)</f>
        <v>-2950.1111111111113</v>
      </c>
      <c r="K27" s="141">
        <f>SUM(K23:K26)</f>
        <v>-3024</v>
      </c>
    </row>
    <row r="28" spans="1:11">
      <c r="A28" t="s">
        <v>93</v>
      </c>
      <c r="B28" s="172"/>
      <c r="D28" s="227"/>
      <c r="E28" s="140"/>
      <c r="G28" s="227"/>
      <c r="H28" s="140"/>
      <c r="J28" s="227"/>
      <c r="K28" s="140"/>
    </row>
    <row r="29" spans="1:11">
      <c r="A29" t="s">
        <v>94</v>
      </c>
      <c r="B29" s="172">
        <f>'Proforma Balance Sheet'!B21-'Historical Balance Sheet'!B21</f>
        <v>316.66666666666674</v>
      </c>
      <c r="D29" s="227">
        <f>'Proforma Balance Sheet'!D21-'Proforma Balance Sheet'!B21</f>
        <v>-89.444444444444343</v>
      </c>
      <c r="E29" s="140">
        <f>'Proforma Balance Sheet'!E21-'Proforma Balance Sheet'!B21</f>
        <v>-84.920281142641443</v>
      </c>
      <c r="G29" s="227">
        <f>'Proforma Balance Sheet'!G21-'Proforma Balance Sheet'!D21</f>
        <v>-45.925925925926094</v>
      </c>
      <c r="H29" s="140">
        <f>'Proforma Balance Sheet'!H21-'Proforma Balance Sheet'!E21</f>
        <v>-42.28094769222821</v>
      </c>
      <c r="J29" s="227">
        <f>'Proforma Balance Sheet'!J21-'Proforma Balance Sheet'!G21</f>
        <v>60.432098765432102</v>
      </c>
      <c r="K29" s="140">
        <f>'Proforma Balance Sheet'!K21-'Proforma Balance Sheet'!H21</f>
        <v>64.65989804192418</v>
      </c>
    </row>
    <row r="30" spans="1:11">
      <c r="A30" t="s">
        <v>95</v>
      </c>
      <c r="B30" s="172">
        <v>0</v>
      </c>
      <c r="D30" s="227">
        <f>0</f>
        <v>0</v>
      </c>
      <c r="E30" s="140">
        <f>0</f>
        <v>0</v>
      </c>
      <c r="G30" s="227">
        <v>0</v>
      </c>
      <c r="H30" s="140">
        <v>0</v>
      </c>
      <c r="J30" s="227">
        <v>0</v>
      </c>
      <c r="K30" s="140">
        <v>0</v>
      </c>
    </row>
    <row r="31" spans="1:11">
      <c r="A31" t="s">
        <v>96</v>
      </c>
      <c r="B31" s="172">
        <f>'Proforma Balance Sheet'!B32-'Historical Balance Sheet'!B32-1321</f>
        <v>-3409.6666666666679</v>
      </c>
      <c r="D31" s="227">
        <f>'Proforma Balance Sheet'!D32-'Proforma Balance Sheet'!B32</f>
        <v>771.44444444444525</v>
      </c>
      <c r="E31" s="140">
        <f>'Proforma Balance Sheet'!E32-'Proforma Balance Sheet'!B32</f>
        <v>785.32567323707553</v>
      </c>
      <c r="G31" s="227">
        <f>'Proforma Balance Sheet'!G32-'Proforma Balance Sheet'!D32</f>
        <v>181.925925925927</v>
      </c>
      <c r="H31" s="140">
        <f>'Proforma Balance Sheet'!H32-'Proforma Balance Sheet'!E32</f>
        <v>195.29701307588402</v>
      </c>
      <c r="J31" s="227">
        <f>'Proforma Balance Sheet'!J32-'Proforma Balance Sheet'!G32</f>
        <v>-378.43209876543187</v>
      </c>
      <c r="K31" s="140">
        <f>'Proforma Balance Sheet'!K32-'Proforma Balance Sheet'!H32</f>
        <v>-366.36913260001529</v>
      </c>
    </row>
    <row r="32" spans="1:11">
      <c r="A32" t="s">
        <v>97</v>
      </c>
      <c r="B32" s="172">
        <f>'Proforma Balance Sheet'!B42-'Historical Balance Sheet'!B42</f>
        <v>-3000</v>
      </c>
      <c r="D32" s="227">
        <f>'Proforma Balance Sheet'!D42-'Proforma Balance Sheet'!B42</f>
        <v>-3000</v>
      </c>
      <c r="E32" s="140">
        <f>D32</f>
        <v>-3000</v>
      </c>
      <c r="G32" s="227">
        <f>'Proforma Balance Sheet'!G42-'Proforma Balance Sheet'!D42</f>
        <v>-6000</v>
      </c>
      <c r="H32" s="140">
        <f>'Proforma Balance Sheet'!H42-'Proforma Balance Sheet'!E42</f>
        <v>-6000</v>
      </c>
      <c r="J32" s="227">
        <f>'Proforma Balance Sheet'!J42-'Proforma Balance Sheet'!G42</f>
        <v>-5000</v>
      </c>
      <c r="K32" s="140">
        <f>'Proforma Balance Sheet'!K42-'Proforma Balance Sheet'!H42</f>
        <v>-5000</v>
      </c>
    </row>
    <row r="33" spans="1:11">
      <c r="A33" t="s">
        <v>98</v>
      </c>
      <c r="B33" s="172">
        <f>SUM('Historical Stmt of Cash Flows '!B33+'Historical Stmt of Cash Flows '!E33+'Historical Stmt of Cash Flows '!H33)/3</f>
        <v>257</v>
      </c>
      <c r="D33" s="227">
        <f>SUM(B33+'Historical Stmt of Cash Flows '!B33+'Historical Stmt of Cash Flows '!E33)/3</f>
        <v>257.66666666666669</v>
      </c>
      <c r="E33" s="140">
        <f>D33</f>
        <v>257.66666666666669</v>
      </c>
      <c r="G33" s="227">
        <f>SUM(D33,B33,'Historical Stmt of Cash Flows '!B33)/3</f>
        <v>264.88888888888891</v>
      </c>
      <c r="H33" s="140">
        <f>G33-70</f>
        <v>194.88888888888891</v>
      </c>
      <c r="J33" s="227">
        <f>SUM(G33,D33,B33)/3</f>
        <v>259.8518518518519</v>
      </c>
      <c r="K33" s="140">
        <f>J33</f>
        <v>259.8518518518519</v>
      </c>
    </row>
    <row r="34" spans="1:11">
      <c r="A34" t="s">
        <v>99</v>
      </c>
      <c r="B34" s="172">
        <v>-5958</v>
      </c>
      <c r="D34" s="227">
        <f>B34*1.05</f>
        <v>-6255.9000000000005</v>
      </c>
      <c r="E34" s="140">
        <f>D34</f>
        <v>-6255.9000000000005</v>
      </c>
      <c r="F34" s="65"/>
      <c r="G34" s="227">
        <f>D34*1.05</f>
        <v>-6568.6950000000006</v>
      </c>
      <c r="H34" s="140">
        <f>G34</f>
        <v>-6568.6950000000006</v>
      </c>
      <c r="I34" s="65"/>
      <c r="J34" s="227">
        <f>G34*1.05</f>
        <v>-6897.129750000001</v>
      </c>
      <c r="K34" s="140">
        <f>J34</f>
        <v>-6897.129750000001</v>
      </c>
    </row>
    <row r="35" spans="1:11">
      <c r="A35" t="s">
        <v>100</v>
      </c>
      <c r="B35" s="172">
        <f>SUM('Historical Stmt of Cash Flows '!B35+'Historical Stmt of Cash Flows '!E35+'Historical Stmt of Cash Flows '!H35)/3</f>
        <v>-137.66666666666666</v>
      </c>
      <c r="D35" s="227">
        <f>SUM(B35+'Historical Stmt of Cash Flows '!B33+'Historical Stmt of Cash Flows '!E33)/3</f>
        <v>126.11111111111113</v>
      </c>
      <c r="E35" s="140">
        <f>D35</f>
        <v>126.11111111111113</v>
      </c>
      <c r="G35" s="227">
        <f>SUM(D35,B35,'Historical Stmt of Cash Flows '!B35)/3</f>
        <v>-62.518518518518512</v>
      </c>
      <c r="H35" s="140">
        <f>G35</f>
        <v>-62.518518518518512</v>
      </c>
      <c r="J35" s="227">
        <f>SUM(G35,D35,B35)/3</f>
        <v>-24.69135802469135</v>
      </c>
      <c r="K35" s="140">
        <f>J35</f>
        <v>-24.69135802469135</v>
      </c>
    </row>
    <row r="36" spans="1:11">
      <c r="A36" t="s">
        <v>101</v>
      </c>
      <c r="B36" s="216">
        <f>SUM(B29:B35)</f>
        <v>-11931.666666666666</v>
      </c>
      <c r="C36" s="119"/>
      <c r="D36" s="229">
        <f>SUM(D29:D35)</f>
        <v>-8190.1222222222223</v>
      </c>
      <c r="E36" s="141">
        <f>SUM(E29:E35)</f>
        <v>-8171.7168301277889</v>
      </c>
      <c r="F36" s="119"/>
      <c r="G36" s="229">
        <f>SUM(G29:G35)</f>
        <v>-12230.324629629629</v>
      </c>
      <c r="H36" s="141">
        <f>SUM(H29:H35)</f>
        <v>-12283.308564245974</v>
      </c>
      <c r="I36" s="119"/>
      <c r="J36" s="229">
        <f>SUM(J29:J35)</f>
        <v>-11979.969256172841</v>
      </c>
      <c r="K36" s="141">
        <f>SUM(K29:K35)</f>
        <v>-11963.67849073093</v>
      </c>
    </row>
    <row r="37" spans="1:11">
      <c r="A37" t="s">
        <v>102</v>
      </c>
      <c r="B37" s="172">
        <f>B21+B27+B36</f>
        <v>551.88288333333549</v>
      </c>
      <c r="D37" s="227">
        <f>SUM(D21,D27,D36)</f>
        <v>3092.9827331944416</v>
      </c>
      <c r="E37" s="140">
        <f>SUM(E21,E27,E36)</f>
        <v>3254.6208414442917</v>
      </c>
      <c r="G37" s="227">
        <f>SUM(G21,G27,G36)</f>
        <v>-271.28186514235858</v>
      </c>
      <c r="H37" s="140">
        <f>SUM(H21,H27,H36)</f>
        <v>167.87000933422678</v>
      </c>
      <c r="J37" s="227">
        <f>SUM(J21,J27,J36)</f>
        <v>-42.074529697896651</v>
      </c>
      <c r="K37" s="140">
        <f>SUM(K21,K27,K36)</f>
        <v>835.72559350495067</v>
      </c>
    </row>
    <row r="38" spans="1:11">
      <c r="A38" t="s">
        <v>103</v>
      </c>
      <c r="B38" s="172">
        <f>SUM('Historical Stmt of Cash Flows '!B38+'Historical Stmt of Cash Flows '!E38+'Historical Stmt of Cash Flows '!H38)/3</f>
        <v>74.666666666666671</v>
      </c>
      <c r="D38" s="227">
        <f>SUM(B38,'Historical Stmt of Cash Flows '!B38,'Historical Stmt of Cash Flows '!E38)/3</f>
        <v>58.222222222222229</v>
      </c>
      <c r="E38" s="140">
        <f>D38</f>
        <v>58.222222222222229</v>
      </c>
      <c r="G38" s="227">
        <f>D38-16</f>
        <v>42.222222222222229</v>
      </c>
      <c r="H38" s="140">
        <f>E38</f>
        <v>58.222222222222229</v>
      </c>
      <c r="J38" s="227">
        <f>D38</f>
        <v>58.222222222222229</v>
      </c>
      <c r="K38" s="140">
        <f>E38</f>
        <v>58.222222222222229</v>
      </c>
    </row>
    <row r="39" spans="1:11" ht="15.75">
      <c r="A39" t="s">
        <v>104</v>
      </c>
      <c r="B39" s="172">
        <f>'Historical Balance Sheet'!B8</f>
        <v>2133</v>
      </c>
      <c r="D39" s="227">
        <f>'Proforma Balance Sheet'!B8</f>
        <v>2760</v>
      </c>
      <c r="E39" s="140">
        <f>D39</f>
        <v>2760</v>
      </c>
      <c r="G39" s="227">
        <f>'Proforma Balance Sheet'!D8</f>
        <v>5911.4</v>
      </c>
      <c r="H39" s="140">
        <f>'Proforma Balance Sheet'!E8</f>
        <v>6073</v>
      </c>
      <c r="J39" s="227">
        <f>'Proforma Balance Sheet'!G8</f>
        <v>5682</v>
      </c>
      <c r="K39" s="140">
        <f>'Proforma Balance Sheet'!H8</f>
        <v>6299</v>
      </c>
    </row>
    <row r="40" spans="1:11" ht="15.75">
      <c r="A40" t="s">
        <v>105</v>
      </c>
      <c r="B40" s="80">
        <f>SUM(B37:B39)</f>
        <v>2759.549550000002</v>
      </c>
      <c r="C40" s="120"/>
      <c r="D40" s="231">
        <f>SUM(D37:D39)</f>
        <v>5911.2049554166642</v>
      </c>
      <c r="E40" s="212">
        <f>SUM(E37:E39)</f>
        <v>6072.8430636665144</v>
      </c>
      <c r="F40" s="217"/>
      <c r="G40" s="231">
        <f>SUM(G37:G39)</f>
        <v>5682.3403570798637</v>
      </c>
      <c r="H40" s="212">
        <f>SUM(H37:H39)</f>
        <v>6299.0922315564494</v>
      </c>
      <c r="I40" s="217"/>
      <c r="J40" s="231">
        <f>SUM(J37:J39)</f>
        <v>5698.147692524326</v>
      </c>
      <c r="K40" s="212">
        <f>SUM(K37:K39)</f>
        <v>7192.9478157271733</v>
      </c>
    </row>
    <row r="41" spans="1:11" ht="15.75">
      <c r="B41" s="8">
        <f>B40-'Proforma Balance Sheet'!B8</f>
        <v>-0.45044999999799984</v>
      </c>
      <c r="C41" s="8">
        <f>C40-'Proforma Balance Sheet'!C8</f>
        <v>0</v>
      </c>
      <c r="D41" s="8">
        <f>D40-'Proforma Balance Sheet'!D8</f>
        <v>-0.19504458333540242</v>
      </c>
      <c r="E41" s="8">
        <f>E40-'Proforma Balance Sheet'!E8</f>
        <v>-0.15693633348564617</v>
      </c>
      <c r="F41" s="8">
        <f>F40-'Proforma Balance Sheet'!F8</f>
        <v>0</v>
      </c>
      <c r="G41" s="8">
        <f>G40-'Proforma Balance Sheet'!G8</f>
        <v>0.34035707986367925</v>
      </c>
      <c r="H41" s="8">
        <f>H40-'Proforma Balance Sheet'!H8</f>
        <v>9.2231556449405616E-2</v>
      </c>
      <c r="I41" s="8">
        <f>I40-'Proforma Balance Sheet'!I8</f>
        <v>0</v>
      </c>
      <c r="J41" s="8">
        <f>J40-'Proforma Balance Sheet'!J8</f>
        <v>0.14769252432597568</v>
      </c>
      <c r="K41" s="8">
        <f>K40-'Proforma Balance Sheet'!K8</f>
        <v>-5.2184272826707456E-2</v>
      </c>
    </row>
  </sheetData>
  <mergeCells count="7">
    <mergeCell ref="J5:K5"/>
    <mergeCell ref="A1:K1"/>
    <mergeCell ref="A2:K2"/>
    <mergeCell ref="A3:K3"/>
    <mergeCell ref="A4:K4"/>
    <mergeCell ref="D5:E5"/>
    <mergeCell ref="G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2B69-E2FF-0D40-B428-0E4EC5D6373E}">
  <dimension ref="A1:M25"/>
  <sheetViews>
    <sheetView tabSelected="1" workbookViewId="0">
      <selection activeCell="B24" sqref="B21:B24"/>
    </sheetView>
  </sheetViews>
  <sheetFormatPr defaultColWidth="11" defaultRowHeight="15.75"/>
  <cols>
    <col min="1" max="1" width="23.25" bestFit="1" customWidth="1"/>
    <col min="2" max="2" width="47" customWidth="1"/>
    <col min="3" max="3" width="15.875" customWidth="1"/>
    <col min="4" max="4" width="24.5" customWidth="1"/>
    <col min="5" max="5" width="18.875" customWidth="1"/>
    <col min="6" max="6" width="14.25" customWidth="1"/>
    <col min="7" max="7" width="17.75" customWidth="1"/>
    <col min="8" max="8" width="21.25" customWidth="1"/>
    <col min="9" max="9" width="17.25" customWidth="1"/>
    <col min="10" max="10" width="18.375" customWidth="1"/>
    <col min="11" max="11" width="19.625" customWidth="1"/>
    <col min="12" max="12" width="15.75" customWidth="1"/>
    <col min="13" max="13" width="19.875" customWidth="1"/>
  </cols>
  <sheetData>
    <row r="1" spans="1:13">
      <c r="B1" t="s">
        <v>156</v>
      </c>
      <c r="C1" s="1">
        <v>11</v>
      </c>
      <c r="D1" s="164" t="s">
        <v>157</v>
      </c>
      <c r="E1" s="164" t="s">
        <v>158</v>
      </c>
      <c r="F1" s="164"/>
      <c r="G1" s="165"/>
      <c r="H1" s="164" t="s">
        <v>159</v>
      </c>
      <c r="I1" s="164"/>
      <c r="J1" s="165"/>
      <c r="K1" s="164" t="s">
        <v>160</v>
      </c>
      <c r="L1" s="164"/>
      <c r="M1" s="165"/>
    </row>
    <row r="2" spans="1:13" ht="15.95">
      <c r="B2" s="1" t="s">
        <v>161</v>
      </c>
      <c r="C2" t="s">
        <v>162</v>
      </c>
      <c r="D2" s="167">
        <v>0.3</v>
      </c>
      <c r="E2" s="164" t="s">
        <v>163</v>
      </c>
      <c r="F2" s="164" t="s">
        <v>164</v>
      </c>
      <c r="G2" s="164" t="s">
        <v>165</v>
      </c>
      <c r="H2" s="164" t="s">
        <v>163</v>
      </c>
      <c r="I2" s="164" t="s">
        <v>164</v>
      </c>
      <c r="J2" s="164"/>
      <c r="K2" s="164" t="s">
        <v>163</v>
      </c>
      <c r="L2" s="164" t="s">
        <v>164</v>
      </c>
    </row>
    <row r="3" spans="1:13">
      <c r="B3" t="s">
        <v>166</v>
      </c>
      <c r="C3" t="s">
        <v>165</v>
      </c>
      <c r="D3" s="4" t="s">
        <v>165</v>
      </c>
      <c r="E3" s="199">
        <f>((655400*(2/3))*300)/1000000</f>
        <v>131.08000000000001</v>
      </c>
      <c r="F3" s="187">
        <f>655400*(2/3)</f>
        <v>436933.33333333331</v>
      </c>
      <c r="G3" s="8">
        <f>(655400*(2/3))*600</f>
        <v>262160000</v>
      </c>
      <c r="H3" s="199">
        <f>((655400*(2/3))*600)/1000000</f>
        <v>262.16000000000003</v>
      </c>
      <c r="I3" s="187">
        <f>F3</f>
        <v>436933.33333333331</v>
      </c>
      <c r="J3" s="65"/>
      <c r="K3" s="199">
        <f>((655400*(2/3))*900)/1000000</f>
        <v>393.24</v>
      </c>
      <c r="L3" s="187">
        <f>I3</f>
        <v>436933.33333333331</v>
      </c>
    </row>
    <row r="4" spans="1:13">
      <c r="A4" s="166" t="s">
        <v>167</v>
      </c>
      <c r="B4" t="s">
        <v>168</v>
      </c>
      <c r="C4" s="24">
        <f>(655400*(2/3))*300</f>
        <v>131080000</v>
      </c>
      <c r="D4" s="4" t="s">
        <v>169</v>
      </c>
      <c r="E4" s="84">
        <f>E3*D2</f>
        <v>39.324000000000005</v>
      </c>
      <c r="F4" s="24"/>
      <c r="G4" s="24"/>
      <c r="H4" s="65">
        <f>H3*D2</f>
        <v>78.64800000000001</v>
      </c>
      <c r="I4" s="24"/>
      <c r="J4" s="24"/>
      <c r="K4" s="65">
        <f>K3*D2</f>
        <v>117.97199999999999</v>
      </c>
      <c r="L4" s="24"/>
    </row>
    <row r="5" spans="1:13">
      <c r="A5" s="1">
        <f>NPV('Historical Ratios'!B20,B10,B11,B13,B14,B15)+B12</f>
        <v>585.68584788081239</v>
      </c>
      <c r="B5" t="s">
        <v>170</v>
      </c>
      <c r="D5" s="4" t="s">
        <v>171</v>
      </c>
      <c r="E5" s="84">
        <f>((((255*C1*8)*9))*300)/1000000</f>
        <v>60.588000000000001</v>
      </c>
      <c r="F5" s="24"/>
      <c r="G5" s="24"/>
      <c r="H5" s="65">
        <f>((((255*C1*8)*9))*600)/1000000</f>
        <v>121.176</v>
      </c>
      <c r="I5" s="24"/>
      <c r="J5" s="24"/>
      <c r="K5" s="65">
        <f>((((255*C1*8)*9))*900)/1000000</f>
        <v>181.76400000000001</v>
      </c>
      <c r="L5" s="24"/>
    </row>
    <row r="6" spans="1:13">
      <c r="A6" s="166" t="s">
        <v>172</v>
      </c>
      <c r="B6" t="s">
        <v>173</v>
      </c>
      <c r="D6" t="s">
        <v>174</v>
      </c>
      <c r="E6" s="84">
        <f>E3*0.06</f>
        <v>7.8648000000000007</v>
      </c>
      <c r="F6" s="24"/>
      <c r="G6" s="24"/>
      <c r="H6" s="65">
        <f>H3*0.06</f>
        <v>15.729600000000001</v>
      </c>
      <c r="I6" s="24"/>
      <c r="J6" s="24"/>
      <c r="K6" s="65">
        <f>K3*0.06</f>
        <v>23.5944</v>
      </c>
      <c r="L6" s="24"/>
    </row>
    <row r="7" spans="1:13">
      <c r="A7" s="167">
        <f>IRR(B10:B15)</f>
        <v>1.3679875664365895</v>
      </c>
      <c r="B7" t="s">
        <v>175</v>
      </c>
      <c r="D7" t="s">
        <v>176</v>
      </c>
      <c r="E7" s="84"/>
      <c r="F7" s="24"/>
      <c r="G7" s="24"/>
      <c r="H7" s="65"/>
      <c r="I7" s="24"/>
      <c r="J7" s="24"/>
      <c r="K7" s="65"/>
      <c r="L7" s="24"/>
    </row>
    <row r="8" spans="1:13">
      <c r="B8" t="s">
        <v>177</v>
      </c>
      <c r="D8" t="s">
        <v>178</v>
      </c>
      <c r="E8" s="84">
        <f>((40*50*9)*300)/1000000</f>
        <v>5.4</v>
      </c>
      <c r="F8" s="24"/>
      <c r="G8" s="24"/>
      <c r="H8" s="65">
        <f>E8</f>
        <v>5.4</v>
      </c>
      <c r="I8" s="24"/>
      <c r="J8" s="24"/>
      <c r="K8" s="65">
        <f>H8</f>
        <v>5.4</v>
      </c>
      <c r="L8" s="24"/>
    </row>
    <row r="9" spans="1:13">
      <c r="A9" s="166" t="s">
        <v>179</v>
      </c>
      <c r="B9" t="s">
        <v>180</v>
      </c>
      <c r="D9" t="s">
        <v>181</v>
      </c>
      <c r="E9" s="84">
        <f>(100000)/1000000</f>
        <v>0.1</v>
      </c>
      <c r="F9" s="24"/>
      <c r="G9" s="24"/>
      <c r="H9" s="65">
        <f>E9</f>
        <v>0.1</v>
      </c>
      <c r="I9" s="24"/>
      <c r="J9" s="24"/>
      <c r="K9" s="65">
        <f>H9</f>
        <v>0.1</v>
      </c>
      <c r="L9" s="24"/>
    </row>
    <row r="10" spans="1:13">
      <c r="A10">
        <v>2020</v>
      </c>
      <c r="B10" s="24">
        <v>-50</v>
      </c>
      <c r="D10" t="s">
        <v>182</v>
      </c>
      <c r="E10" s="84">
        <f>((550*12)*2)/1000000</f>
        <v>1.32E-2</v>
      </c>
      <c r="F10" s="24"/>
      <c r="G10" s="24"/>
      <c r="H10" s="65">
        <f>E10*2</f>
        <v>2.64E-2</v>
      </c>
      <c r="I10" s="24"/>
      <c r="J10" s="24"/>
      <c r="K10" s="65">
        <f>H10</f>
        <v>2.64E-2</v>
      </c>
      <c r="L10" s="24"/>
    </row>
    <row r="11" spans="1:13">
      <c r="A11">
        <v>2021</v>
      </c>
      <c r="B11" s="24">
        <f>-E22</f>
        <v>-18</v>
      </c>
      <c r="D11" t="s">
        <v>183</v>
      </c>
      <c r="E11" s="84">
        <f>100000/1000000</f>
        <v>0.1</v>
      </c>
      <c r="F11" s="24"/>
      <c r="G11" s="24"/>
      <c r="H11" s="65">
        <f>E11*3</f>
        <v>0.30000000000000004</v>
      </c>
      <c r="I11" s="24"/>
      <c r="J11" s="24"/>
      <c r="K11" s="65">
        <f>H11*2</f>
        <v>0.60000000000000009</v>
      </c>
      <c r="L11" s="24"/>
    </row>
    <row r="12" spans="1:13">
      <c r="A12">
        <v>2022</v>
      </c>
      <c r="B12" s="8">
        <f>B11</f>
        <v>-18</v>
      </c>
      <c r="D12" t="s">
        <v>184</v>
      </c>
      <c r="E12" s="84">
        <f>5000/1000000</f>
        <v>5.0000000000000001E-3</v>
      </c>
      <c r="F12" s="24"/>
      <c r="G12" s="24"/>
      <c r="H12" s="65">
        <f>E12*2</f>
        <v>0.01</v>
      </c>
      <c r="I12" s="24"/>
      <c r="J12" s="24"/>
      <c r="K12" s="65">
        <f>H12*2</f>
        <v>0.02</v>
      </c>
      <c r="L12" s="24"/>
    </row>
    <row r="13" spans="1:13">
      <c r="A13">
        <v>2023</v>
      </c>
      <c r="B13" s="24">
        <f>'Proforma Income Statement'!F16-'Proforma Income Statement'!D16-18</f>
        <v>331.73260000001028</v>
      </c>
      <c r="D13" t="s">
        <v>185</v>
      </c>
      <c r="E13" s="84">
        <f>20000/1000000</f>
        <v>0.02</v>
      </c>
      <c r="F13" s="24"/>
      <c r="G13" s="24"/>
      <c r="H13" s="65">
        <f>E13*2</f>
        <v>0.04</v>
      </c>
      <c r="I13" s="24"/>
      <c r="J13" s="24"/>
      <c r="K13" s="65">
        <f>H13*2</f>
        <v>0.08</v>
      </c>
      <c r="L13" s="24"/>
    </row>
    <row r="14" spans="1:13">
      <c r="A14">
        <v>2024</v>
      </c>
      <c r="B14" s="24">
        <f>'Proforma Income Statement'!J16-'Proforma Income Statement'!H16-18</f>
        <v>686.5402000000031</v>
      </c>
      <c r="D14" t="s">
        <v>186</v>
      </c>
      <c r="E14" s="84">
        <f>((C4*0.03)/(1000000))</f>
        <v>3.9323999999999999</v>
      </c>
      <c r="F14" s="24"/>
      <c r="G14" s="24"/>
      <c r="H14" s="65">
        <f>H3*0.03</f>
        <v>7.8648000000000007</v>
      </c>
      <c r="I14" s="24"/>
      <c r="J14" s="24"/>
      <c r="K14" s="65">
        <f>K3*0.03</f>
        <v>11.7972</v>
      </c>
      <c r="L14" s="24"/>
    </row>
    <row r="15" spans="1:13">
      <c r="A15">
        <v>2025</v>
      </c>
      <c r="B15" s="24">
        <f>'Proforma Income Statement'!M16-'Proforma Income Statement'!L16-18</f>
        <v>1041.8860000000095</v>
      </c>
      <c r="D15" t="s">
        <v>187</v>
      </c>
      <c r="E15" s="195">
        <f>SUM(E4:E14)</f>
        <v>117.34739999999999</v>
      </c>
      <c r="F15" s="168"/>
      <c r="G15" s="168"/>
      <c r="H15" s="197">
        <f>SUM(H4:H14)</f>
        <v>229.29480000000001</v>
      </c>
      <c r="I15" s="168"/>
      <c r="J15" s="168"/>
      <c r="K15" s="197">
        <f>SUM(K4:K14)</f>
        <v>341.35399999999998</v>
      </c>
      <c r="L15" s="168"/>
    </row>
    <row r="16" spans="1:13">
      <c r="B16" t="s">
        <v>188</v>
      </c>
      <c r="D16" t="s">
        <v>189</v>
      </c>
      <c r="E16" s="196">
        <f>E3-E15</f>
        <v>13.732600000000019</v>
      </c>
      <c r="F16" s="26"/>
      <c r="G16" s="26"/>
      <c r="H16" s="198">
        <f>H3-H15</f>
        <v>32.865200000000016</v>
      </c>
      <c r="I16" s="26"/>
      <c r="J16" s="26"/>
      <c r="K16" s="198">
        <f>K3-K15</f>
        <v>51.886000000000024</v>
      </c>
      <c r="L16" s="169"/>
    </row>
    <row r="17" spans="2:11">
      <c r="B17" s="188"/>
      <c r="C17" t="s">
        <v>190</v>
      </c>
      <c r="E17" s="84">
        <f>(C18*0.07*(1/3))/1000000</f>
        <v>336</v>
      </c>
      <c r="F17" s="189"/>
      <c r="G17" s="189"/>
      <c r="H17" s="65">
        <f>(G18*0.07*(1/3))/1000000</f>
        <v>672</v>
      </c>
      <c r="J17" s="189"/>
      <c r="K17" s="65">
        <f>(J18*0.07*(1/3))/1000000</f>
        <v>1008.0000000000001</v>
      </c>
    </row>
    <row r="18" spans="2:11">
      <c r="B18" s="188"/>
      <c r="C18" s="2">
        <f>((1600000000*0.15)*60)</f>
        <v>14400000000</v>
      </c>
      <c r="E18" s="2"/>
      <c r="G18" s="24">
        <f>(1600000000*0.3)*60</f>
        <v>28800000000</v>
      </c>
      <c r="J18" s="24">
        <f>(1600000000*0.45)*60</f>
        <v>43200000000</v>
      </c>
      <c r="K18" s="65"/>
    </row>
    <row r="19" spans="2:11">
      <c r="C19" s="9"/>
      <c r="D19" t="s">
        <v>191</v>
      </c>
      <c r="E19" s="199">
        <f>SUM(E3,E17)</f>
        <v>467.08000000000004</v>
      </c>
      <c r="F19" s="8"/>
      <c r="G19" s="8"/>
      <c r="H19" s="199">
        <f>SUM(H3,H17)</f>
        <v>934.16000000000008</v>
      </c>
      <c r="I19" s="8"/>
      <c r="J19" s="8"/>
      <c r="K19" s="199">
        <f>SUM(K3,K17)</f>
        <v>1401.2400000000002</v>
      </c>
    </row>
    <row r="20" spans="2:11">
      <c r="C20" s="9"/>
    </row>
    <row r="21" spans="2:11">
      <c r="B21" s="9"/>
      <c r="C21" s="9"/>
    </row>
    <row r="22" spans="2:11">
      <c r="B22" s="228"/>
      <c r="D22" t="s">
        <v>192</v>
      </c>
      <c r="E22" s="2">
        <f>(60*1000*300)/1000000</f>
        <v>18</v>
      </c>
      <c r="H22" s="2">
        <f>E22</f>
        <v>18</v>
      </c>
      <c r="K22" s="2">
        <f>H22</f>
        <v>18</v>
      </c>
    </row>
    <row r="23" spans="2:11">
      <c r="B23" s="228"/>
    </row>
    <row r="25" spans="2:11">
      <c r="B25" s="1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FE7D9-CF7B-5F4E-B27F-0769F7EED457}">
  <dimension ref="A1:L22"/>
  <sheetViews>
    <sheetView workbookViewId="0">
      <selection activeCell="G19" sqref="G19"/>
    </sheetView>
  </sheetViews>
  <sheetFormatPr defaultColWidth="11" defaultRowHeight="15.95"/>
  <cols>
    <col min="1" max="1" width="47.125" customWidth="1"/>
    <col min="2" max="3" width="21.625" customWidth="1"/>
    <col min="4" max="4" width="24.875" customWidth="1"/>
    <col min="5" max="5" width="27.875" bestFit="1" customWidth="1"/>
    <col min="6" max="6" width="23.375" bestFit="1" customWidth="1"/>
    <col min="7" max="7" width="18.5" customWidth="1"/>
    <col min="8" max="8" width="21.375" customWidth="1"/>
    <col min="9" max="9" width="17" customWidth="1"/>
    <col min="10" max="10" width="17.375" customWidth="1"/>
    <col min="11" max="11" width="18.625" customWidth="1"/>
  </cols>
  <sheetData>
    <row r="1" spans="1:12" ht="15.95" customHeight="1">
      <c r="A1" s="226" t="s">
        <v>112</v>
      </c>
      <c r="B1" s="226"/>
      <c r="C1" s="226"/>
      <c r="D1" s="226"/>
      <c r="E1" s="226"/>
      <c r="F1" s="226"/>
      <c r="G1" s="226"/>
      <c r="H1" s="226"/>
    </row>
    <row r="2" spans="1:12">
      <c r="A2" s="226" t="s">
        <v>193</v>
      </c>
      <c r="B2" s="226"/>
      <c r="C2" s="226"/>
      <c r="D2" s="226"/>
      <c r="E2" s="226"/>
      <c r="F2" s="226"/>
      <c r="G2" s="226"/>
      <c r="H2" s="226"/>
    </row>
    <row r="3" spans="1:12">
      <c r="A3" s="226" t="s">
        <v>2</v>
      </c>
      <c r="B3" s="226"/>
      <c r="C3" s="226"/>
      <c r="D3" s="226"/>
      <c r="E3" s="226"/>
      <c r="F3" s="226"/>
      <c r="G3" s="226"/>
      <c r="H3" s="226"/>
      <c r="J3" s="66"/>
    </row>
    <row r="4" spans="1:12">
      <c r="A4" s="226" t="s">
        <v>194</v>
      </c>
      <c r="B4" s="226"/>
      <c r="C4" s="226"/>
      <c r="D4" s="226"/>
      <c r="E4" s="226"/>
      <c r="F4" s="226"/>
      <c r="G4" s="226"/>
      <c r="H4" s="226"/>
      <c r="I4" s="226" t="s">
        <v>4</v>
      </c>
      <c r="J4" s="226"/>
      <c r="K4" s="226"/>
    </row>
    <row r="5" spans="1:12">
      <c r="A5" s="9"/>
      <c r="B5" s="9"/>
      <c r="C5" s="9"/>
      <c r="D5" s="9"/>
      <c r="E5" s="9"/>
      <c r="F5" s="9"/>
      <c r="G5" s="9"/>
      <c r="H5" s="9"/>
    </row>
    <row r="6" spans="1:12">
      <c r="A6" s="9"/>
      <c r="B6" s="151">
        <v>43861</v>
      </c>
      <c r="C6" s="152" t="s">
        <v>195</v>
      </c>
      <c r="D6" s="152" t="s">
        <v>7</v>
      </c>
      <c r="E6" s="151">
        <v>43497</v>
      </c>
      <c r="F6" s="151" t="s">
        <v>6</v>
      </c>
      <c r="G6" s="152" t="s">
        <v>7</v>
      </c>
      <c r="H6" s="153">
        <v>43133</v>
      </c>
      <c r="I6" s="154">
        <v>43861</v>
      </c>
      <c r="J6" s="151">
        <v>43497</v>
      </c>
      <c r="K6" s="153">
        <v>43133</v>
      </c>
    </row>
    <row r="7" spans="1:12">
      <c r="A7" t="s">
        <v>193</v>
      </c>
      <c r="B7" s="9"/>
      <c r="C7" s="23"/>
      <c r="D7" s="23"/>
      <c r="E7" s="9"/>
      <c r="F7" s="9"/>
      <c r="H7" s="9"/>
    </row>
    <row r="8" spans="1:12">
      <c r="A8" t="s">
        <v>11</v>
      </c>
      <c r="B8" s="67">
        <v>72148</v>
      </c>
      <c r="C8" s="155">
        <f>'Competitor Income Statement'!B8-'Competitor Income Statement'!E8</f>
        <v>839</v>
      </c>
      <c r="D8" s="156">
        <f>(C8/E8)</f>
        <v>1.1765695774726893E-2</v>
      </c>
      <c r="E8" s="67">
        <v>71309</v>
      </c>
      <c r="F8" s="79">
        <f>'Competitor Income Statement'!E8-'Competitor Income Statement'!H8</f>
        <v>2690</v>
      </c>
      <c r="G8" s="81">
        <f>F8/H8</f>
        <v>3.9201970299771204E-2</v>
      </c>
      <c r="H8" s="67">
        <v>68619</v>
      </c>
      <c r="I8" s="68">
        <f>B8/$B$8</f>
        <v>1</v>
      </c>
      <c r="J8" s="68">
        <f>E8/$E$8</f>
        <v>1</v>
      </c>
      <c r="K8" s="68">
        <f>H8/$H$8</f>
        <v>1</v>
      </c>
    </row>
    <row r="9" spans="1:12">
      <c r="A9" t="s">
        <v>13</v>
      </c>
      <c r="B9" s="70">
        <v>49205</v>
      </c>
      <c r="C9" s="157">
        <f>'Competitor Income Statement'!B9-'Competitor Income Statement'!E9</f>
        <v>804</v>
      </c>
      <c r="D9" s="158">
        <f>(C9/E9)</f>
        <v>1.6611227040763621E-2</v>
      </c>
      <c r="E9" s="70">
        <v>48401</v>
      </c>
      <c r="F9" s="51">
        <f>'Competitor Income Statement'!E9-'Competitor Income Statement'!H9</f>
        <v>2216</v>
      </c>
      <c r="G9" s="82">
        <f>F9/H9</f>
        <v>4.7980946194651944E-2</v>
      </c>
      <c r="H9" s="70">
        <v>46185</v>
      </c>
      <c r="I9" s="68">
        <f t="shared" ref="I9:I22" si="0">B9/$B$8</f>
        <v>0.68200088706547657</v>
      </c>
      <c r="J9" s="68">
        <f t="shared" ref="J9:J22" si="1">E9/$E$8</f>
        <v>0.67875022788147354</v>
      </c>
      <c r="K9" s="68">
        <f t="shared" ref="K9:K22" si="2">H9/$H$8</f>
        <v>0.67306431163380409</v>
      </c>
    </row>
    <row r="10" spans="1:12">
      <c r="A10" t="s">
        <v>196</v>
      </c>
      <c r="B10" s="69">
        <f>B8-B9</f>
        <v>22943</v>
      </c>
      <c r="C10" s="159">
        <f>'Competitor Income Statement'!B10-'Competitor Income Statement'!E10</f>
        <v>35</v>
      </c>
      <c r="D10" s="156">
        <f>(C10/E10)</f>
        <v>1.5278505325650427E-3</v>
      </c>
      <c r="E10" s="69">
        <f>E8-E9</f>
        <v>22908</v>
      </c>
      <c r="F10" s="52">
        <f>'Competitor Income Statement'!E10-'Competitor Income Statement'!H10</f>
        <v>474</v>
      </c>
      <c r="G10" s="81">
        <f t="shared" ref="G10:G22" si="3">F10/H10</f>
        <v>2.1128644022465899E-2</v>
      </c>
      <c r="H10" s="69">
        <f>H8-H9</f>
        <v>22434</v>
      </c>
      <c r="I10" s="54">
        <f t="shared" si="0"/>
        <v>0.31799911293452349</v>
      </c>
      <c r="J10" s="54">
        <f t="shared" si="1"/>
        <v>0.3212497721185264</v>
      </c>
      <c r="K10" s="54">
        <f t="shared" si="2"/>
        <v>0.32693568836619596</v>
      </c>
      <c r="L10" t="s">
        <v>12</v>
      </c>
    </row>
    <row r="11" spans="1:12">
      <c r="A11" t="s">
        <v>197</v>
      </c>
      <c r="B11" s="9"/>
      <c r="C11" s="159"/>
      <c r="D11" s="156"/>
      <c r="E11" s="9"/>
      <c r="F11" s="52"/>
      <c r="G11" s="81"/>
      <c r="H11" s="9"/>
      <c r="I11" s="68"/>
      <c r="J11" s="68"/>
      <c r="K11" s="68"/>
    </row>
    <row r="12" spans="1:12">
      <c r="A12" t="s">
        <v>16</v>
      </c>
      <c r="B12" s="14">
        <v>15367</v>
      </c>
      <c r="C12" s="159">
        <f>'Competitor Income Statement'!B12-'Competitor Income Statement'!E12</f>
        <v>-2046</v>
      </c>
      <c r="D12" s="156">
        <f>(C12/E12)</f>
        <v>-0.11749842072015161</v>
      </c>
      <c r="E12" s="14">
        <v>17413</v>
      </c>
      <c r="F12" s="52">
        <f>'Competitor Income Statement'!E12-'Competitor Income Statement'!H12</f>
        <v>2969</v>
      </c>
      <c r="G12" s="81">
        <f t="shared" si="3"/>
        <v>0.20555247853780118</v>
      </c>
      <c r="H12" s="14">
        <v>14444</v>
      </c>
      <c r="I12" s="68">
        <f t="shared" si="0"/>
        <v>0.21299273715141098</v>
      </c>
      <c r="J12" s="68">
        <f t="shared" si="1"/>
        <v>0.2441907753579492</v>
      </c>
      <c r="K12" s="68">
        <f t="shared" si="2"/>
        <v>0.21049563531966364</v>
      </c>
    </row>
    <row r="13" spans="1:12">
      <c r="A13" t="s">
        <v>17</v>
      </c>
      <c r="B13" s="14">
        <v>1262</v>
      </c>
      <c r="C13" s="157">
        <f>'Competitor Income Statement'!B13-'Competitor Income Statement'!E13</f>
        <v>-215</v>
      </c>
      <c r="D13" s="158">
        <f>(C13/E13)</f>
        <v>-0.14556533513879485</v>
      </c>
      <c r="E13" s="14">
        <v>1477</v>
      </c>
      <c r="F13" s="51">
        <f>'Competitor Income Statement'!E13-'Competitor Income Statement'!H13</f>
        <v>73</v>
      </c>
      <c r="G13" s="82">
        <f t="shared" si="3"/>
        <v>5.1994301994301995E-2</v>
      </c>
      <c r="H13" s="14">
        <v>1404</v>
      </c>
      <c r="I13" s="68">
        <f t="shared" si="0"/>
        <v>1.7491822365138326E-2</v>
      </c>
      <c r="J13" s="68">
        <f t="shared" si="1"/>
        <v>2.0712673014626485E-2</v>
      </c>
      <c r="K13" s="68">
        <f t="shared" si="2"/>
        <v>2.0460805316311809E-2</v>
      </c>
    </row>
    <row r="14" spans="1:12">
      <c r="A14" t="s">
        <v>20</v>
      </c>
      <c r="B14" s="37">
        <f>B10-B12-B13</f>
        <v>6314</v>
      </c>
      <c r="C14" s="159">
        <f>'Competitor Income Statement'!B14-'Competitor Income Statement'!E14</f>
        <v>2296</v>
      </c>
      <c r="D14" s="156">
        <f>(C14/E14)</f>
        <v>0.5714285714285714</v>
      </c>
      <c r="E14" s="37">
        <f>E10-E12-E13</f>
        <v>4018</v>
      </c>
      <c r="F14" s="52">
        <f>'Competitor Income Statement'!E14-'Competitor Income Statement'!H14</f>
        <v>-2568</v>
      </c>
      <c r="G14" s="81">
        <f t="shared" si="3"/>
        <v>-0.38991800789553599</v>
      </c>
      <c r="H14" s="37">
        <f>H10-H12-H13</f>
        <v>6586</v>
      </c>
      <c r="I14" s="54">
        <f t="shared" si="0"/>
        <v>8.7514553417974164E-2</v>
      </c>
      <c r="J14" s="54">
        <f t="shared" si="1"/>
        <v>5.6346323745950722E-2</v>
      </c>
      <c r="K14" s="54">
        <f t="shared" si="2"/>
        <v>9.5979247730220499E-2</v>
      </c>
      <c r="L14" s="3"/>
    </row>
    <row r="15" spans="1:12">
      <c r="A15" t="s">
        <v>198</v>
      </c>
      <c r="B15" s="9">
        <v>691</v>
      </c>
      <c r="C15" s="159">
        <f>'Competitor Income Statement'!B15-'Competitor Income Statement'!E15</f>
        <v>67</v>
      </c>
      <c r="D15" s="156">
        <f>(C15/E15)</f>
        <v>0.10737179487179487</v>
      </c>
      <c r="E15" s="9">
        <v>624</v>
      </c>
      <c r="F15" s="52">
        <f>'Competitor Income Statement'!E15-'Competitor Income Statement'!H15</f>
        <v>-9</v>
      </c>
      <c r="G15" s="81">
        <f t="shared" si="3"/>
        <v>-1.4218009478672985E-2</v>
      </c>
      <c r="H15" s="9">
        <v>633</v>
      </c>
      <c r="I15" s="68">
        <f t="shared" si="0"/>
        <v>9.5775350668071187E-3</v>
      </c>
      <c r="J15" s="68">
        <f t="shared" si="1"/>
        <v>8.7506485857325161E-3</v>
      </c>
      <c r="K15" s="68">
        <f t="shared" si="2"/>
        <v>9.2248502601320337E-3</v>
      </c>
    </row>
    <row r="16" spans="1:12">
      <c r="A16" t="s">
        <v>199</v>
      </c>
      <c r="B16" s="93">
        <v>0</v>
      </c>
      <c r="C16" s="157"/>
      <c r="D16" s="158"/>
      <c r="E16" s="93">
        <v>0</v>
      </c>
      <c r="F16" s="51">
        <f>'Competitor Income Statement'!E16-'Competitor Income Statement'!H16</f>
        <v>-464</v>
      </c>
      <c r="G16" s="82">
        <f t="shared" si="3"/>
        <v>-1</v>
      </c>
      <c r="H16" s="9">
        <v>464</v>
      </c>
      <c r="I16" s="68">
        <f t="shared" si="0"/>
        <v>0</v>
      </c>
      <c r="J16" s="68">
        <f t="shared" si="1"/>
        <v>0</v>
      </c>
      <c r="K16" s="68">
        <f t="shared" si="2"/>
        <v>6.7619755461315375E-3</v>
      </c>
    </row>
    <row r="17" spans="1:11">
      <c r="A17" t="s">
        <v>200</v>
      </c>
      <c r="B17" s="37">
        <f>B14-B15</f>
        <v>5623</v>
      </c>
      <c r="C17" s="159">
        <f>'Competitor Income Statement'!B17-'Competitor Income Statement'!E17</f>
        <v>2229</v>
      </c>
      <c r="D17" s="156">
        <f t="shared" ref="D17:D22" si="4">(C17/E17)</f>
        <v>0.65674720094284034</v>
      </c>
      <c r="E17" s="37">
        <f>E14-E15</f>
        <v>3394</v>
      </c>
      <c r="F17" s="52">
        <f>'Competitor Income Statement'!E17-'Competitor Income Statement'!H17</f>
        <v>-2095</v>
      </c>
      <c r="G17" s="81">
        <f t="shared" si="3"/>
        <v>-0.38167243578065219</v>
      </c>
      <c r="H17" s="37">
        <f>H14-H15-H16</f>
        <v>5489</v>
      </c>
      <c r="I17" s="54">
        <f t="shared" si="0"/>
        <v>7.7937018351167051E-2</v>
      </c>
      <c r="J17" s="54">
        <f t="shared" si="1"/>
        <v>4.7595675160218204E-2</v>
      </c>
      <c r="K17" s="54">
        <f t="shared" si="2"/>
        <v>7.9992421923956919E-2</v>
      </c>
    </row>
    <row r="18" spans="1:11">
      <c r="A18" t="s">
        <v>201</v>
      </c>
      <c r="B18" s="38">
        <v>1342</v>
      </c>
      <c r="C18" s="159">
        <f>'Competitor Income Statement'!B18-'Competitor Income Statement'!E18</f>
        <v>262</v>
      </c>
      <c r="D18" s="156">
        <f t="shared" si="4"/>
        <v>0.24259259259259258</v>
      </c>
      <c r="E18" s="38">
        <v>1080</v>
      </c>
      <c r="F18" s="52">
        <f>'Competitor Income Statement'!E18-'Competitor Income Statement'!H18</f>
        <v>-962</v>
      </c>
      <c r="G18" s="81">
        <f t="shared" si="3"/>
        <v>-0.47110675808031344</v>
      </c>
      <c r="H18" s="38">
        <v>2042</v>
      </c>
      <c r="I18" s="68">
        <f t="shared" si="0"/>
        <v>1.8600654210788933E-2</v>
      </c>
      <c r="J18" s="68">
        <f t="shared" si="1"/>
        <v>1.5145353321460124E-2</v>
      </c>
      <c r="K18" s="68">
        <f t="shared" si="2"/>
        <v>2.9758521692242672E-2</v>
      </c>
    </row>
    <row r="19" spans="1:11" ht="17.100000000000001" thickBot="1">
      <c r="A19" t="s">
        <v>75</v>
      </c>
      <c r="B19" s="39">
        <f>B17-B18</f>
        <v>4281</v>
      </c>
      <c r="C19" s="160">
        <f>'Competitor Income Statement'!B19-'Competitor Income Statement'!E19</f>
        <v>1967</v>
      </c>
      <c r="D19" s="161">
        <f t="shared" si="4"/>
        <v>0.85004321521175452</v>
      </c>
      <c r="E19" s="39">
        <f>E17-E18</f>
        <v>2314</v>
      </c>
      <c r="F19" s="78">
        <f>'Competitor Income Statement'!E19-'Competitor Income Statement'!H19</f>
        <v>-1133</v>
      </c>
      <c r="G19" s="83">
        <f t="shared" si="3"/>
        <v>-0.32869161589788221</v>
      </c>
      <c r="H19" s="39">
        <f>H17-H18</f>
        <v>3447</v>
      </c>
      <c r="I19" s="55">
        <f t="shared" si="0"/>
        <v>5.9336364140378114E-2</v>
      </c>
      <c r="J19" s="55">
        <f t="shared" si="1"/>
        <v>3.2450321838758081E-2</v>
      </c>
      <c r="K19" s="55">
        <f t="shared" si="2"/>
        <v>5.023390023171425E-2</v>
      </c>
    </row>
    <row r="20" spans="1:11" ht="17.100000000000001" thickTop="1">
      <c r="A20" s="9" t="s">
        <v>202</v>
      </c>
      <c r="B20" s="85">
        <v>5.49</v>
      </c>
      <c r="C20" s="159">
        <f>'Competitor Income Statement'!B20-'Competitor Income Statement'!E20</f>
        <v>2.6500000000000004</v>
      </c>
      <c r="D20" s="156">
        <f t="shared" si="4"/>
        <v>0.93309859154929597</v>
      </c>
      <c r="E20" s="85">
        <v>2.84</v>
      </c>
      <c r="F20" s="52">
        <f>'Competitor Income Statement'!E20-'Competitor Income Statement'!H20</f>
        <v>-1.25</v>
      </c>
      <c r="G20" s="81">
        <f t="shared" si="3"/>
        <v>-0.30562347188264061</v>
      </c>
      <c r="H20" s="36">
        <v>4.09</v>
      </c>
      <c r="I20" s="110">
        <f t="shared" si="0"/>
        <v>7.6093585407772908E-5</v>
      </c>
      <c r="J20" s="68">
        <f t="shared" si="1"/>
        <v>3.9826669845321064E-5</v>
      </c>
      <c r="K20" s="68">
        <f t="shared" si="2"/>
        <v>5.9604482723443941E-5</v>
      </c>
    </row>
    <row r="21" spans="1:11">
      <c r="A21" s="9" t="s">
        <v>203</v>
      </c>
      <c r="B21" s="36">
        <v>5.49</v>
      </c>
      <c r="C21" s="159">
        <f>'Competitor Income Statement'!B21-'Competitor Income Statement'!E21</f>
        <v>2.6500000000000004</v>
      </c>
      <c r="D21" s="156">
        <f t="shared" si="4"/>
        <v>0.93309859154929597</v>
      </c>
      <c r="E21" s="36">
        <v>2.84</v>
      </c>
      <c r="F21" s="52">
        <f>'Competitor Income Statement'!E21-'Competitor Income Statement'!H21</f>
        <v>-1.25</v>
      </c>
      <c r="G21" s="81">
        <f t="shared" si="3"/>
        <v>-0.30562347188264061</v>
      </c>
      <c r="H21" s="36">
        <v>4.09</v>
      </c>
      <c r="I21" s="68">
        <f t="shared" si="0"/>
        <v>7.6093585407772908E-5</v>
      </c>
      <c r="J21" s="68">
        <f t="shared" si="1"/>
        <v>3.9826669845321064E-5</v>
      </c>
      <c r="K21" s="68">
        <f t="shared" si="2"/>
        <v>5.9604482723443941E-5</v>
      </c>
    </row>
    <row r="22" spans="1:11">
      <c r="A22" s="9" t="s">
        <v>204</v>
      </c>
      <c r="B22" s="36">
        <v>2.13</v>
      </c>
      <c r="C22" s="162">
        <f>'Competitor Income Statement'!B22-'Competitor Income Statement'!E22</f>
        <v>0.2799999999999998</v>
      </c>
      <c r="D22" s="156">
        <f t="shared" si="4"/>
        <v>0.15135135135135125</v>
      </c>
      <c r="E22" s="36">
        <v>1.85</v>
      </c>
      <c r="F22" s="94">
        <f>'Competitor Income Statement'!E22-'Competitor Income Statement'!H22</f>
        <v>0.27</v>
      </c>
      <c r="G22" s="81">
        <f t="shared" si="3"/>
        <v>0.17088607594936708</v>
      </c>
      <c r="H22" s="36">
        <v>1.58</v>
      </c>
      <c r="I22" s="68">
        <f t="shared" si="0"/>
        <v>2.9522647890447414E-5</v>
      </c>
      <c r="J22" s="68">
        <f t="shared" si="1"/>
        <v>2.5943429300649289E-5</v>
      </c>
      <c r="K22" s="68">
        <f t="shared" si="2"/>
        <v>2.302569259243067E-5</v>
      </c>
    </row>
  </sheetData>
  <mergeCells count="5">
    <mergeCell ref="I4:K4"/>
    <mergeCell ref="A1:H1"/>
    <mergeCell ref="A2:H2"/>
    <mergeCell ref="A3:H3"/>
    <mergeCell ref="A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C470-7A70-4A60-A5CE-8098F908E432}">
  <dimension ref="A1:L48"/>
  <sheetViews>
    <sheetView topLeftCell="A15" workbookViewId="0">
      <selection activeCell="B35" sqref="B35"/>
    </sheetView>
  </sheetViews>
  <sheetFormatPr defaultColWidth="11" defaultRowHeight="15.95"/>
  <cols>
    <col min="1" max="1" width="75" bestFit="1" customWidth="1"/>
    <col min="2" max="4" width="22" customWidth="1"/>
    <col min="5" max="7" width="21.375" customWidth="1"/>
    <col min="8" max="8" width="21" customWidth="1"/>
    <col min="9" max="9" width="16.5" customWidth="1"/>
    <col min="10" max="10" width="18.125" customWidth="1"/>
    <col min="11" max="11" width="17.875" customWidth="1"/>
    <col min="12" max="12" width="18" customWidth="1"/>
  </cols>
  <sheetData>
    <row r="1" spans="1:12" ht="15.95" customHeight="1">
      <c r="A1" s="226" t="s">
        <v>205</v>
      </c>
      <c r="B1" s="226"/>
      <c r="C1" s="226"/>
      <c r="D1" s="226"/>
      <c r="E1" s="226"/>
      <c r="F1" s="226"/>
      <c r="G1" s="226"/>
      <c r="H1" s="226"/>
      <c r="I1" s="47"/>
      <c r="J1" s="47"/>
      <c r="K1" s="47"/>
      <c r="L1" s="47"/>
    </row>
    <row r="2" spans="1:12">
      <c r="A2" s="226" t="s">
        <v>206</v>
      </c>
      <c r="B2" s="226"/>
      <c r="C2" s="226"/>
      <c r="D2" s="226"/>
      <c r="E2" s="226"/>
      <c r="F2" s="226"/>
      <c r="G2" s="226"/>
      <c r="H2" s="226"/>
      <c r="I2" s="48"/>
      <c r="J2" s="48"/>
      <c r="K2" s="48"/>
      <c r="L2" s="48"/>
    </row>
    <row r="3" spans="1:12">
      <c r="A3" s="226" t="s">
        <v>207</v>
      </c>
      <c r="B3" s="226"/>
      <c r="C3" s="226"/>
      <c r="D3" s="226"/>
      <c r="E3" s="226"/>
      <c r="F3" s="226"/>
      <c r="G3" s="226"/>
      <c r="H3" s="226"/>
      <c r="I3" s="48"/>
      <c r="J3" s="48"/>
      <c r="K3" s="48"/>
      <c r="L3" s="48"/>
    </row>
    <row r="4" spans="1:12">
      <c r="A4" s="226" t="s">
        <v>3</v>
      </c>
      <c r="B4" s="226"/>
      <c r="C4" s="226"/>
      <c r="D4" s="226"/>
      <c r="E4" s="226"/>
      <c r="F4" s="226"/>
      <c r="G4" s="226"/>
      <c r="H4" s="226"/>
      <c r="I4" s="226" t="s">
        <v>4</v>
      </c>
      <c r="J4" s="226"/>
      <c r="K4" s="226"/>
      <c r="L4" s="48"/>
    </row>
    <row r="5" spans="1:12">
      <c r="I5" s="66"/>
    </row>
    <row r="6" spans="1:12">
      <c r="B6" s="163">
        <v>43861</v>
      </c>
      <c r="C6" s="163" t="s">
        <v>195</v>
      </c>
      <c r="D6" s="163" t="s">
        <v>7</v>
      </c>
      <c r="E6" s="163">
        <v>43497</v>
      </c>
      <c r="F6" s="163" t="s">
        <v>195</v>
      </c>
      <c r="G6" s="163" t="s">
        <v>7</v>
      </c>
      <c r="H6" s="163">
        <v>43133</v>
      </c>
      <c r="I6" s="163">
        <v>43861</v>
      </c>
      <c r="J6" s="163">
        <v>43497</v>
      </c>
      <c r="K6" s="163">
        <v>43133</v>
      </c>
    </row>
    <row r="7" spans="1:12">
      <c r="A7" t="s">
        <v>208</v>
      </c>
      <c r="B7" s="21"/>
      <c r="C7" s="21"/>
      <c r="D7" s="21"/>
      <c r="E7" s="21"/>
      <c r="F7" s="21"/>
      <c r="G7" s="21"/>
      <c r="K7" s="65"/>
    </row>
    <row r="8" spans="1:12">
      <c r="A8" s="28" t="s">
        <v>35</v>
      </c>
      <c r="B8" s="72">
        <v>716</v>
      </c>
      <c r="C8" s="74">
        <f>B8-E8</f>
        <v>205</v>
      </c>
      <c r="D8" s="56">
        <f>C8/E8</f>
        <v>0.40117416829745595</v>
      </c>
      <c r="E8" s="72">
        <v>511</v>
      </c>
      <c r="F8" s="74">
        <f>E8-H8</f>
        <v>-77</v>
      </c>
      <c r="G8" s="56">
        <f>F8/H8</f>
        <v>-0.13095238095238096</v>
      </c>
      <c r="H8" s="73">
        <v>588</v>
      </c>
      <c r="I8" s="53">
        <f>B8/B$20</f>
        <v>1.8139900179878897E-2</v>
      </c>
      <c r="J8" s="53">
        <f>E8/E$20</f>
        <v>1.4808160426567752E-2</v>
      </c>
      <c r="K8" s="53">
        <f>H8/H$20</f>
        <v>1.6661471763339094E-2</v>
      </c>
    </row>
    <row r="9" spans="1:12">
      <c r="A9" s="28" t="s">
        <v>209</v>
      </c>
      <c r="B9" s="28">
        <v>160</v>
      </c>
      <c r="C9" s="57">
        <f t="shared" ref="C9:C44" si="0">B9-E9</f>
        <v>-58</v>
      </c>
      <c r="D9" s="56">
        <f t="shared" ref="D9:D44" si="1">C9/E9</f>
        <v>-0.26605504587155965</v>
      </c>
      <c r="E9" s="28">
        <v>218</v>
      </c>
      <c r="F9" s="57">
        <f t="shared" ref="F9:F44" si="2">E9-H9</f>
        <v>116</v>
      </c>
      <c r="G9" s="56">
        <f t="shared" ref="G9:G44" si="3">F9/H9</f>
        <v>1.1372549019607843</v>
      </c>
      <c r="H9" s="86">
        <v>102</v>
      </c>
      <c r="I9" s="53">
        <f>B9/B$20</f>
        <v>4.0536089787438882E-3</v>
      </c>
      <c r="J9" s="53">
        <f>E9/E$20</f>
        <v>6.317375681001507E-3</v>
      </c>
      <c r="K9" s="53">
        <f>H9/H$20</f>
        <v>2.8902553058853531E-3</v>
      </c>
    </row>
    <row r="10" spans="1:12">
      <c r="A10" s="28" t="s">
        <v>210</v>
      </c>
      <c r="B10" s="30">
        <v>13179</v>
      </c>
      <c r="C10" s="57">
        <f t="shared" si="0"/>
        <v>618</v>
      </c>
      <c r="D10" s="56">
        <f t="shared" si="1"/>
        <v>4.9199904466204918E-2</v>
      </c>
      <c r="E10" s="30">
        <v>12561</v>
      </c>
      <c r="F10" s="57">
        <f t="shared" si="2"/>
        <v>1168</v>
      </c>
      <c r="G10" s="56">
        <f t="shared" si="3"/>
        <v>0.10251909066970948</v>
      </c>
      <c r="H10" s="86">
        <v>11393</v>
      </c>
      <c r="I10" s="53">
        <f>B10/B$20</f>
        <v>0.33389070456791065</v>
      </c>
      <c r="J10" s="53">
        <f>E10/E$20</f>
        <v>0.3640025501333024</v>
      </c>
      <c r="K10" s="53">
        <f>H10/H$20</f>
        <v>0.32283018333286106</v>
      </c>
    </row>
    <row r="11" spans="1:12">
      <c r="A11" s="28" t="s">
        <v>38</v>
      </c>
      <c r="B11" s="31">
        <v>1263</v>
      </c>
      <c r="C11" s="57">
        <f t="shared" si="0"/>
        <v>325</v>
      </c>
      <c r="D11" s="56">
        <f t="shared" si="1"/>
        <v>0.34648187633262262</v>
      </c>
      <c r="E11" s="44">
        <v>938</v>
      </c>
      <c r="F11" s="57">
        <f t="shared" si="2"/>
        <v>249</v>
      </c>
      <c r="G11" s="56">
        <f t="shared" si="3"/>
        <v>0.36139332365747462</v>
      </c>
      <c r="H11" s="87">
        <v>689</v>
      </c>
      <c r="I11" s="68">
        <f>B11/B$20</f>
        <v>3.1998175875959566E-2</v>
      </c>
      <c r="J11" s="68">
        <f>E11/E$20</f>
        <v>2.7182102700822997E-2</v>
      </c>
      <c r="K11" s="68">
        <f>H11/H$20</f>
        <v>1.9523391232892238E-2</v>
      </c>
    </row>
    <row r="12" spans="1:12">
      <c r="A12" s="42" t="s">
        <v>39</v>
      </c>
      <c r="B12" s="30">
        <f>SUM(B8:B11)</f>
        <v>15318</v>
      </c>
      <c r="C12" s="58">
        <f t="shared" si="0"/>
        <v>1090</v>
      </c>
      <c r="D12" s="59">
        <f t="shared" si="1"/>
        <v>7.6609502389654208E-2</v>
      </c>
      <c r="E12" s="45">
        <f>SUM(E8:E11)</f>
        <v>14228</v>
      </c>
      <c r="F12" s="58">
        <f t="shared" si="2"/>
        <v>1456</v>
      </c>
      <c r="G12" s="59">
        <f t="shared" si="3"/>
        <v>0.11399937362981521</v>
      </c>
      <c r="H12" s="88">
        <f>SUM(H8:H11)</f>
        <v>12772</v>
      </c>
      <c r="I12" s="54">
        <f>B12/B$20</f>
        <v>0.38808238960249297</v>
      </c>
      <c r="J12" s="54">
        <f>E12/E$20</f>
        <v>0.41231018894169469</v>
      </c>
      <c r="K12" s="54">
        <f>H12/H$20</f>
        <v>0.36190530163497775</v>
      </c>
    </row>
    <row r="13" spans="1:12">
      <c r="A13" s="42"/>
      <c r="B13" s="30"/>
      <c r="C13" s="57"/>
      <c r="D13" s="56"/>
      <c r="E13" s="30"/>
      <c r="F13" s="57"/>
      <c r="G13" s="56"/>
      <c r="H13" s="89"/>
      <c r="I13" s="53"/>
      <c r="J13" s="53"/>
      <c r="K13" s="53"/>
    </row>
    <row r="14" spans="1:12">
      <c r="A14" s="28" t="s">
        <v>211</v>
      </c>
      <c r="B14" s="43">
        <v>18669</v>
      </c>
      <c r="C14" s="57">
        <f t="shared" si="0"/>
        <v>237</v>
      </c>
      <c r="D14" s="56">
        <f t="shared" si="1"/>
        <v>1.2858072916666666E-2</v>
      </c>
      <c r="E14" s="43">
        <v>18432</v>
      </c>
      <c r="F14" s="57">
        <f t="shared" si="2"/>
        <v>-1289</v>
      </c>
      <c r="G14" s="56">
        <f t="shared" si="3"/>
        <v>-6.5361797069114144E-2</v>
      </c>
      <c r="H14" s="87">
        <v>19721</v>
      </c>
      <c r="I14" s="53">
        <f t="shared" ref="I14:I20" si="4">B14/B$20</f>
        <v>0.4729801626510603</v>
      </c>
      <c r="J14" s="53">
        <f>E14/E$20</f>
        <v>0.53413701170743011</v>
      </c>
      <c r="K14" s="53">
        <f>H14/H$20</f>
        <v>0.55881102830750051</v>
      </c>
    </row>
    <row r="15" spans="1:12">
      <c r="A15" s="28" t="s">
        <v>41</v>
      </c>
      <c r="B15" s="30">
        <v>3891</v>
      </c>
      <c r="C15" s="57">
        <f t="shared" si="0"/>
        <v>3891</v>
      </c>
      <c r="D15" s="56"/>
      <c r="E15" s="28"/>
      <c r="F15" s="57"/>
      <c r="G15" s="56"/>
      <c r="H15" s="86"/>
      <c r="I15" s="53">
        <f t="shared" si="4"/>
        <v>9.8578703351827918E-2</v>
      </c>
      <c r="J15" s="53"/>
      <c r="K15" s="53"/>
    </row>
    <row r="16" spans="1:12">
      <c r="A16" s="28" t="s">
        <v>212</v>
      </c>
      <c r="B16" s="28">
        <v>372</v>
      </c>
      <c r="C16" s="57">
        <f t="shared" si="0"/>
        <v>116</v>
      </c>
      <c r="D16" s="56">
        <f t="shared" si="1"/>
        <v>0.453125</v>
      </c>
      <c r="E16" s="28">
        <v>256</v>
      </c>
      <c r="F16" s="57">
        <f t="shared" si="2"/>
        <v>-152</v>
      </c>
      <c r="G16" s="56">
        <f t="shared" si="3"/>
        <v>-0.37254901960784315</v>
      </c>
      <c r="H16" s="86">
        <v>408</v>
      </c>
      <c r="I16" s="53">
        <f t="shared" si="4"/>
        <v>9.4246408755795392E-3</v>
      </c>
      <c r="J16" s="53">
        <f>E16/E$20</f>
        <v>7.4185696070476412E-3</v>
      </c>
      <c r="K16" s="53">
        <f>H16/H$20</f>
        <v>1.1561021223541412E-2</v>
      </c>
    </row>
    <row r="17" spans="1:11">
      <c r="A17" s="28" t="s">
        <v>213</v>
      </c>
      <c r="B17" s="28">
        <v>216</v>
      </c>
      <c r="C17" s="57">
        <f t="shared" si="0"/>
        <v>-78</v>
      </c>
      <c r="D17" s="56">
        <f t="shared" si="1"/>
        <v>-0.26530612244897961</v>
      </c>
      <c r="E17" s="28">
        <v>294</v>
      </c>
      <c r="F17" s="57">
        <f t="shared" si="2"/>
        <v>126</v>
      </c>
      <c r="G17" s="56">
        <f t="shared" si="3"/>
        <v>0.75</v>
      </c>
      <c r="H17" s="86">
        <v>168</v>
      </c>
      <c r="I17" s="53">
        <f t="shared" si="4"/>
        <v>5.4723721213042484E-3</v>
      </c>
      <c r="J17" s="53">
        <f>E17/E$20</f>
        <v>8.5197635330937754E-3</v>
      </c>
      <c r="K17" s="53">
        <f>H17/H$20</f>
        <v>4.7604205038111703E-3</v>
      </c>
    </row>
    <row r="18" spans="1:11">
      <c r="A18" s="28" t="s">
        <v>42</v>
      </c>
      <c r="B18" s="28">
        <v>303</v>
      </c>
      <c r="C18" s="57">
        <f t="shared" si="0"/>
        <v>0</v>
      </c>
      <c r="D18" s="56">
        <f t="shared" si="1"/>
        <v>0</v>
      </c>
      <c r="E18" s="28">
        <v>303</v>
      </c>
      <c r="F18" s="57">
        <f t="shared" si="2"/>
        <v>-1004</v>
      </c>
      <c r="G18" s="56">
        <f t="shared" si="3"/>
        <v>-0.76817138485080338</v>
      </c>
      <c r="H18" s="86">
        <v>1307</v>
      </c>
      <c r="I18" s="53">
        <f t="shared" si="4"/>
        <v>7.6765220034962379E-3</v>
      </c>
      <c r="J18" s="53">
        <f>E18/E$20</f>
        <v>8.7805726208415435E-3</v>
      </c>
      <c r="K18" s="53">
        <f>H18/H$20</f>
        <v>3.7034938086197615E-2</v>
      </c>
    </row>
    <row r="19" spans="1:11">
      <c r="A19" s="28" t="s">
        <v>43</v>
      </c>
      <c r="B19" s="44">
        <v>702</v>
      </c>
      <c r="C19" s="57">
        <f t="shared" si="0"/>
        <v>-293</v>
      </c>
      <c r="D19" s="56">
        <f t="shared" si="1"/>
        <v>-0.29447236180904524</v>
      </c>
      <c r="E19" s="44">
        <v>995</v>
      </c>
      <c r="F19" s="57">
        <f t="shared" si="2"/>
        <v>80</v>
      </c>
      <c r="G19" s="56">
        <f t="shared" si="3"/>
        <v>8.7431693989071038E-2</v>
      </c>
      <c r="H19" s="87">
        <v>915</v>
      </c>
      <c r="I19" s="68">
        <f t="shared" si="4"/>
        <v>1.7785209394238808E-2</v>
      </c>
      <c r="J19" s="68">
        <f>E19/E$20</f>
        <v>2.88338935898922E-2</v>
      </c>
      <c r="K19" s="68">
        <f>H19/H$20</f>
        <v>2.592729024397155E-2</v>
      </c>
    </row>
    <row r="20" spans="1:11">
      <c r="A20" s="42" t="s">
        <v>44</v>
      </c>
      <c r="B20" s="102">
        <f>SUM(B12+B14+SUM(B15:B19))</f>
        <v>39471</v>
      </c>
      <c r="C20" s="60">
        <f>B20-E20</f>
        <v>4963</v>
      </c>
      <c r="D20" s="61">
        <f t="shared" si="1"/>
        <v>0.14382172249913064</v>
      </c>
      <c r="E20" s="102">
        <f>SUM(E12+E14+SUM(E15:E19))</f>
        <v>34508</v>
      </c>
      <c r="F20" s="60">
        <f t="shared" si="2"/>
        <v>-783</v>
      </c>
      <c r="G20" s="61">
        <f t="shared" si="3"/>
        <v>-2.2186959848119917E-2</v>
      </c>
      <c r="H20" s="103">
        <f>SUM(H12+H14+SUM(H15:H19))</f>
        <v>35291</v>
      </c>
      <c r="I20" s="55">
        <f t="shared" si="4"/>
        <v>1</v>
      </c>
      <c r="J20" s="55">
        <f>E20/E$20</f>
        <v>1</v>
      </c>
      <c r="K20" s="55">
        <f>H20/H$20</f>
        <v>1</v>
      </c>
    </row>
    <row r="21" spans="1:11">
      <c r="A21" t="s">
        <v>46</v>
      </c>
      <c r="B21" s="27"/>
      <c r="C21" s="57"/>
      <c r="D21" s="56"/>
      <c r="E21" s="27"/>
      <c r="F21" s="57"/>
      <c r="G21" s="56"/>
      <c r="H21" s="91"/>
      <c r="I21" s="53"/>
      <c r="J21" s="53"/>
      <c r="K21" s="53"/>
    </row>
    <row r="22" spans="1:11">
      <c r="A22" s="28" t="s">
        <v>214</v>
      </c>
      <c r="B22" s="30">
        <v>1941</v>
      </c>
      <c r="C22" s="57">
        <f t="shared" si="0"/>
        <v>1219</v>
      </c>
      <c r="D22" s="56">
        <f t="shared" si="1"/>
        <v>1.6883656509695291</v>
      </c>
      <c r="E22" s="28">
        <v>722</v>
      </c>
      <c r="F22" s="57">
        <f t="shared" si="2"/>
        <v>-415</v>
      </c>
      <c r="G22" s="56">
        <f t="shared" si="3"/>
        <v>-0.36499560246262092</v>
      </c>
      <c r="H22" s="86">
        <v>1137</v>
      </c>
      <c r="I22" s="53">
        <f t="shared" ref="I22:I29" si="5">B22/B$20</f>
        <v>4.9175343923386787E-2</v>
      </c>
      <c r="J22" s="53">
        <f t="shared" ref="J22:J29" si="6">E22/E$20</f>
        <v>2.0922684594876551E-2</v>
      </c>
      <c r="K22" s="53">
        <f>H22/H$20</f>
        <v>3.2217845909722029E-2</v>
      </c>
    </row>
    <row r="23" spans="1:11">
      <c r="A23" s="28" t="s">
        <v>215</v>
      </c>
      <c r="B23" s="28">
        <v>597</v>
      </c>
      <c r="C23" s="57"/>
      <c r="D23" s="56">
        <f t="shared" si="1"/>
        <v>0</v>
      </c>
      <c r="E23" s="30">
        <v>1110</v>
      </c>
      <c r="F23" s="57">
        <f t="shared" si="2"/>
        <v>816</v>
      </c>
      <c r="G23" s="56">
        <f t="shared" si="3"/>
        <v>2.7755102040816326</v>
      </c>
      <c r="H23" s="86">
        <v>294</v>
      </c>
      <c r="I23" s="53">
        <f t="shared" si="5"/>
        <v>1.5125028501938132E-2</v>
      </c>
      <c r="J23" s="53">
        <f t="shared" si="6"/>
        <v>3.2166454155558133E-2</v>
      </c>
      <c r="K23" s="53">
        <f>H23/H$20</f>
        <v>8.330735881669547E-3</v>
      </c>
    </row>
    <row r="24" spans="1:11">
      <c r="A24" s="28" t="s">
        <v>54</v>
      </c>
      <c r="B24" s="28">
        <v>501</v>
      </c>
      <c r="C24" s="57">
        <f t="shared" si="0"/>
        <v>501</v>
      </c>
      <c r="D24" s="56"/>
      <c r="E24" s="28"/>
      <c r="F24" s="57"/>
      <c r="G24" s="56"/>
      <c r="H24" s="86"/>
      <c r="I24" s="53">
        <f t="shared" si="5"/>
        <v>1.26928631146918E-2</v>
      </c>
      <c r="J24" s="53">
        <f t="shared" si="6"/>
        <v>0</v>
      </c>
      <c r="K24" s="53"/>
    </row>
    <row r="25" spans="1:11">
      <c r="A25" s="28" t="s">
        <v>48</v>
      </c>
      <c r="B25" s="30">
        <v>7659</v>
      </c>
      <c r="C25" s="57">
        <f t="shared" si="0"/>
        <v>-620</v>
      </c>
      <c r="D25" s="56">
        <f t="shared" si="1"/>
        <v>-7.4888271530378067E-2</v>
      </c>
      <c r="E25" s="30">
        <v>8279</v>
      </c>
      <c r="F25" s="57">
        <f t="shared" si="2"/>
        <v>1689</v>
      </c>
      <c r="G25" s="56">
        <f t="shared" si="3"/>
        <v>0.25629742033383918</v>
      </c>
      <c r="H25" s="86">
        <v>6590</v>
      </c>
      <c r="I25" s="53">
        <f t="shared" si="5"/>
        <v>0.19404119480124649</v>
      </c>
      <c r="J25" s="53">
        <f t="shared" si="6"/>
        <v>0.23991538194041961</v>
      </c>
      <c r="K25" s="53">
        <f>H25/H$20</f>
        <v>0.18673316142925958</v>
      </c>
    </row>
    <row r="26" spans="1:11">
      <c r="A26" s="28" t="s">
        <v>216</v>
      </c>
      <c r="B26" s="28">
        <v>684</v>
      </c>
      <c r="C26" s="57">
        <f t="shared" si="0"/>
        <v>22</v>
      </c>
      <c r="D26" s="56">
        <f t="shared" si="1"/>
        <v>3.3232628398791542E-2</v>
      </c>
      <c r="E26" s="28">
        <v>662</v>
      </c>
      <c r="F26" s="57">
        <f t="shared" si="2"/>
        <v>-85</v>
      </c>
      <c r="G26" s="56">
        <f t="shared" si="3"/>
        <v>-0.11378848728246319</v>
      </c>
      <c r="H26" s="86">
        <v>747</v>
      </c>
      <c r="I26" s="53">
        <f t="shared" si="5"/>
        <v>1.7329178384130121E-2</v>
      </c>
      <c r="J26" s="53">
        <f t="shared" si="6"/>
        <v>1.9183957343224759E-2</v>
      </c>
      <c r="K26" s="53">
        <f>H26/H$20</f>
        <v>2.1166869740160382E-2</v>
      </c>
    </row>
    <row r="27" spans="1:11">
      <c r="A27" s="28" t="s">
        <v>51</v>
      </c>
      <c r="B27" s="30">
        <v>1219</v>
      </c>
      <c r="C27" s="57">
        <f t="shared" si="0"/>
        <v>-80</v>
      </c>
      <c r="D27" s="56">
        <f t="shared" si="1"/>
        <v>-6.1585835257890686E-2</v>
      </c>
      <c r="E27" s="30">
        <v>1299</v>
      </c>
      <c r="F27" s="57">
        <f t="shared" si="2"/>
        <v>-79</v>
      </c>
      <c r="G27" s="56">
        <f t="shared" si="3"/>
        <v>-5.7329462989840346E-2</v>
      </c>
      <c r="H27" s="86">
        <v>1378</v>
      </c>
      <c r="I27" s="53">
        <f t="shared" si="5"/>
        <v>3.0883433406804998E-2</v>
      </c>
      <c r="J27" s="53">
        <f t="shared" si="6"/>
        <v>3.764344499826127E-2</v>
      </c>
      <c r="K27" s="53">
        <f>H27/H$20</f>
        <v>3.9046782465784476E-2</v>
      </c>
    </row>
    <row r="28" spans="1:11">
      <c r="A28" s="28" t="s">
        <v>217</v>
      </c>
      <c r="B28" s="31">
        <v>2581</v>
      </c>
      <c r="C28" s="57">
        <f t="shared" si="0"/>
        <v>156</v>
      </c>
      <c r="D28" s="56">
        <f t="shared" si="1"/>
        <v>6.4329896907216494E-2</v>
      </c>
      <c r="E28" s="43">
        <v>2425</v>
      </c>
      <c r="F28" s="57">
        <f t="shared" si="2"/>
        <v>475</v>
      </c>
      <c r="G28" s="56">
        <f t="shared" si="3"/>
        <v>0.24358974358974358</v>
      </c>
      <c r="H28" s="90">
        <v>1950</v>
      </c>
      <c r="I28" s="68">
        <f t="shared" si="5"/>
        <v>6.5389779838362347E-2</v>
      </c>
      <c r="J28" s="68">
        <f t="shared" si="6"/>
        <v>7.0273559754259876E-2</v>
      </c>
      <c r="K28" s="68">
        <f>H28/H$20</f>
        <v>5.5254880847808226E-2</v>
      </c>
    </row>
    <row r="29" spans="1:11">
      <c r="A29" s="42" t="s">
        <v>56</v>
      </c>
      <c r="B29" s="30">
        <f>SUM(B22:B28)</f>
        <v>15182</v>
      </c>
      <c r="C29" s="58">
        <f t="shared" si="0"/>
        <v>685</v>
      </c>
      <c r="D29" s="59">
        <f t="shared" si="1"/>
        <v>4.7251155411464442E-2</v>
      </c>
      <c r="E29" s="45">
        <f>SUM(E22:E28)</f>
        <v>14497</v>
      </c>
      <c r="F29" s="58">
        <f t="shared" si="2"/>
        <v>2401</v>
      </c>
      <c r="G29" s="59">
        <f t="shared" si="3"/>
        <v>0.19849537037037038</v>
      </c>
      <c r="H29" s="86">
        <f>SUM(H22:H28)</f>
        <v>12096</v>
      </c>
      <c r="I29" s="54">
        <f t="shared" si="5"/>
        <v>0.38463682197056065</v>
      </c>
      <c r="J29" s="54">
        <f t="shared" si="6"/>
        <v>0.4201054827866002</v>
      </c>
      <c r="K29" s="54">
        <f>H29/H$20</f>
        <v>0.34275027627440424</v>
      </c>
    </row>
    <row r="30" spans="1:11">
      <c r="A30" s="28"/>
      <c r="B30" s="30"/>
      <c r="C30" s="57"/>
      <c r="D30" s="56"/>
      <c r="E30" s="30"/>
      <c r="F30" s="57"/>
      <c r="G30" s="56"/>
      <c r="H30" s="86"/>
      <c r="I30" s="53"/>
      <c r="J30" s="53"/>
      <c r="K30" s="53"/>
    </row>
    <row r="31" spans="1:11">
      <c r="A31" s="28" t="s">
        <v>218</v>
      </c>
      <c r="B31" s="30">
        <v>16768</v>
      </c>
      <c r="C31" s="57">
        <f t="shared" si="0"/>
        <v>2377</v>
      </c>
      <c r="D31" s="56">
        <f t="shared" si="1"/>
        <v>0.16517267736779931</v>
      </c>
      <c r="E31" s="30">
        <v>14391</v>
      </c>
      <c r="F31" s="57">
        <f t="shared" si="2"/>
        <v>-1173</v>
      </c>
      <c r="G31" s="56">
        <f t="shared" si="3"/>
        <v>-7.5366229760986891E-2</v>
      </c>
      <c r="H31" s="86">
        <v>15564</v>
      </c>
      <c r="I31" s="53">
        <f>B31/B$20</f>
        <v>0.42481822097235944</v>
      </c>
      <c r="J31" s="53">
        <f>E31/E$20</f>
        <v>0.41703373130868204</v>
      </c>
      <c r="K31" s="53">
        <f>H31/H$20</f>
        <v>0.44101895667450625</v>
      </c>
    </row>
    <row r="32" spans="1:11">
      <c r="A32" s="28" t="s">
        <v>219</v>
      </c>
      <c r="B32" s="30">
        <v>3943</v>
      </c>
      <c r="C32" s="57">
        <f t="shared" si="0"/>
        <v>3943</v>
      </c>
      <c r="D32" s="56"/>
      <c r="E32" s="28"/>
      <c r="F32" s="57"/>
      <c r="G32" s="56"/>
      <c r="H32" s="86"/>
      <c r="I32" s="53">
        <f>B32/B$20</f>
        <v>9.9896126269919686E-2</v>
      </c>
      <c r="J32" s="53"/>
      <c r="K32" s="53"/>
    </row>
    <row r="33" spans="1:12">
      <c r="A33" s="28" t="s">
        <v>220</v>
      </c>
      <c r="B33" s="28">
        <v>894</v>
      </c>
      <c r="C33" s="57">
        <f t="shared" si="0"/>
        <v>67</v>
      </c>
      <c r="D33" s="56">
        <f t="shared" si="1"/>
        <v>8.1015719467956465E-2</v>
      </c>
      <c r="E33" s="28">
        <v>827</v>
      </c>
      <c r="F33" s="57">
        <f t="shared" si="2"/>
        <v>24</v>
      </c>
      <c r="G33" s="108">
        <f t="shared" si="3"/>
        <v>2.9887920298879204E-2</v>
      </c>
      <c r="H33" s="87">
        <v>803</v>
      </c>
      <c r="I33" s="68">
        <f>B33/B$20</f>
        <v>2.2649540168731472E-2</v>
      </c>
      <c r="J33" s="68">
        <f>E33/E$20</f>
        <v>2.3965457285267184E-2</v>
      </c>
      <c r="K33" s="68">
        <f>H33/H$20</f>
        <v>2.2753676574764105E-2</v>
      </c>
    </row>
    <row r="34" spans="1:12">
      <c r="A34" s="44" t="s">
        <v>221</v>
      </c>
      <c r="B34" s="44">
        <v>712</v>
      </c>
      <c r="C34" s="107">
        <f t="shared" si="0"/>
        <v>-437</v>
      </c>
      <c r="D34" s="108">
        <f t="shared" si="1"/>
        <v>-0.38033072236727589</v>
      </c>
      <c r="E34" s="43">
        <v>1149</v>
      </c>
      <c r="F34" s="107">
        <f t="shared" si="2"/>
        <v>194</v>
      </c>
      <c r="G34" s="108">
        <f t="shared" si="3"/>
        <v>0.2031413612565445</v>
      </c>
      <c r="H34" s="87">
        <v>955</v>
      </c>
      <c r="I34" s="68">
        <f>B34/B$20</f>
        <v>1.8038559955410302E-2</v>
      </c>
      <c r="J34" s="68">
        <f>E34/E$20</f>
        <v>3.3296626869131797E-2</v>
      </c>
      <c r="K34" s="68">
        <f>H34/H$20</f>
        <v>2.7060723697259925E-2</v>
      </c>
    </row>
    <row r="35" spans="1:12">
      <c r="A35" s="106" t="s">
        <v>61</v>
      </c>
      <c r="B35" s="88">
        <f>B29+SUM(B31:B34)</f>
        <v>37499</v>
      </c>
      <c r="C35" s="58">
        <f t="shared" si="0"/>
        <v>6635</v>
      </c>
      <c r="D35" s="58">
        <f t="shared" si="1"/>
        <v>0.21497537584240539</v>
      </c>
      <c r="E35" s="88">
        <f>E29+SUM(E31:E34)</f>
        <v>30864</v>
      </c>
      <c r="F35" s="58">
        <f t="shared" si="2"/>
        <v>1446</v>
      </c>
      <c r="G35" s="58">
        <f t="shared" si="3"/>
        <v>4.9153579441158474E-2</v>
      </c>
      <c r="H35" s="88">
        <f>H29+SUM(H31:H34)</f>
        <v>29418</v>
      </c>
      <c r="I35" s="54">
        <f>B35/B$20</f>
        <v>0.95003926933698157</v>
      </c>
      <c r="J35" s="54">
        <f>E35/E$20</f>
        <v>0.89440129824968129</v>
      </c>
      <c r="K35" s="54">
        <f>H35/H$20</f>
        <v>0.83358363322093454</v>
      </c>
    </row>
    <row r="36" spans="1:12">
      <c r="A36" s="28" t="s">
        <v>222</v>
      </c>
      <c r="B36" s="27"/>
      <c r="C36" s="57"/>
      <c r="D36" s="56"/>
      <c r="E36" s="27"/>
      <c r="F36" s="57"/>
      <c r="G36" s="108"/>
      <c r="H36" s="109"/>
      <c r="I36" s="68"/>
      <c r="J36" s="68"/>
      <c r="K36" s="68"/>
    </row>
    <row r="37" spans="1:12">
      <c r="A37" t="s">
        <v>223</v>
      </c>
      <c r="B37" s="27"/>
      <c r="C37" s="57"/>
      <c r="D37" s="56"/>
      <c r="E37" s="27"/>
      <c r="F37" s="57"/>
      <c r="G37" s="56"/>
      <c r="H37" s="91"/>
      <c r="I37" s="53"/>
      <c r="J37" s="53"/>
      <c r="K37" s="53"/>
    </row>
    <row r="38" spans="1:12">
      <c r="A38" s="28" t="s">
        <v>224</v>
      </c>
      <c r="B38" s="92">
        <v>0</v>
      </c>
      <c r="C38" s="57"/>
      <c r="D38" s="56"/>
      <c r="E38" s="92">
        <v>0</v>
      </c>
      <c r="F38" s="57"/>
      <c r="G38" s="56"/>
      <c r="H38" s="86">
        <v>0</v>
      </c>
      <c r="I38" s="53"/>
      <c r="J38" s="53"/>
      <c r="K38" s="53"/>
    </row>
    <row r="39" spans="1:12">
      <c r="A39" s="28" t="s">
        <v>225</v>
      </c>
      <c r="B39" s="28">
        <v>381</v>
      </c>
      <c r="C39" s="57">
        <f t="shared" si="0"/>
        <v>-20</v>
      </c>
      <c r="D39" s="56">
        <f t="shared" si="1"/>
        <v>-4.9875311720698257E-2</v>
      </c>
      <c r="E39" s="28">
        <v>401</v>
      </c>
      <c r="F39" s="57">
        <f t="shared" si="2"/>
        <v>-14</v>
      </c>
      <c r="G39" s="56">
        <f t="shared" si="3"/>
        <v>-3.3734939759036145E-2</v>
      </c>
      <c r="H39" s="86">
        <v>415</v>
      </c>
      <c r="I39" s="53">
        <f>B39/B$20</f>
        <v>9.6526563806338828E-3</v>
      </c>
      <c r="J39" s="53">
        <f>E39/E$20</f>
        <v>1.162049379853947E-2</v>
      </c>
      <c r="K39" s="53">
        <f t="shared" ref="K39:K44" si="7">H39/H$20</f>
        <v>1.1759372077866878E-2</v>
      </c>
    </row>
    <row r="40" spans="1:12">
      <c r="A40" s="28" t="s">
        <v>226</v>
      </c>
      <c r="B40" s="92">
        <v>0</v>
      </c>
      <c r="C40" s="57"/>
      <c r="D40" s="56"/>
      <c r="E40" s="92">
        <v>0</v>
      </c>
      <c r="F40" s="57">
        <f t="shared" si="2"/>
        <v>-22</v>
      </c>
      <c r="G40" s="56">
        <f t="shared" si="3"/>
        <v>-1</v>
      </c>
      <c r="H40" s="86">
        <v>22</v>
      </c>
      <c r="I40" s="53"/>
      <c r="J40" s="53"/>
      <c r="K40" s="53">
        <f t="shared" si="7"/>
        <v>6.2338839930860561E-4</v>
      </c>
    </row>
    <row r="41" spans="1:12">
      <c r="A41" s="28" t="s">
        <v>65</v>
      </c>
      <c r="B41" s="30">
        <v>1727</v>
      </c>
      <c r="C41" s="57">
        <f t="shared" si="0"/>
        <v>-1725</v>
      </c>
      <c r="D41" s="56">
        <f t="shared" si="1"/>
        <v>-0.49971031286210893</v>
      </c>
      <c r="E41" s="30">
        <v>3452</v>
      </c>
      <c r="F41" s="57">
        <f t="shared" si="2"/>
        <v>-1973</v>
      </c>
      <c r="G41" s="56">
        <f t="shared" si="3"/>
        <v>-0.36368663594470046</v>
      </c>
      <c r="H41" s="86">
        <v>5425</v>
      </c>
      <c r="I41" s="53">
        <f>B41/B$20</f>
        <v>4.375364191431684E-2</v>
      </c>
      <c r="J41" s="53">
        <f>E41/E$20</f>
        <v>0.10003477454503304</v>
      </c>
      <c r="K41" s="53">
        <f t="shared" si="7"/>
        <v>0.15372191210223571</v>
      </c>
      <c r="L41" s="29"/>
    </row>
    <row r="42" spans="1:12">
      <c r="A42" s="28" t="s">
        <v>66</v>
      </c>
      <c r="B42" s="32">
        <v>-136</v>
      </c>
      <c r="C42" s="57">
        <f t="shared" si="0"/>
        <v>73</v>
      </c>
      <c r="D42" s="56">
        <f t="shared" si="1"/>
        <v>-0.34928229665071769</v>
      </c>
      <c r="E42" s="44">
        <v>-209</v>
      </c>
      <c r="F42" s="57">
        <f t="shared" si="2"/>
        <v>-220</v>
      </c>
      <c r="G42" s="56">
        <f t="shared" si="3"/>
        <v>-20</v>
      </c>
      <c r="H42" s="87">
        <v>11</v>
      </c>
      <c r="I42" s="68">
        <f>B42/B$20</f>
        <v>-3.4455676319323047E-3</v>
      </c>
      <c r="J42" s="68">
        <f>E42/E$20</f>
        <v>-6.056566593253738E-3</v>
      </c>
      <c r="K42" s="68">
        <f t="shared" si="7"/>
        <v>3.116941996543028E-4</v>
      </c>
      <c r="L42" s="29"/>
    </row>
    <row r="43" spans="1:12">
      <c r="A43" s="28" t="s">
        <v>227</v>
      </c>
      <c r="B43" s="30">
        <f>SUM(B38:B42)</f>
        <v>1972</v>
      </c>
      <c r="C43" s="58">
        <f t="shared" si="0"/>
        <v>-1672</v>
      </c>
      <c r="D43" s="59">
        <f t="shared" si="1"/>
        <v>-0.45883644346871572</v>
      </c>
      <c r="E43" s="45">
        <f>SUM(E38:E42)</f>
        <v>3644</v>
      </c>
      <c r="F43" s="58">
        <f t="shared" si="2"/>
        <v>-2229</v>
      </c>
      <c r="G43" s="59">
        <f t="shared" si="3"/>
        <v>-0.37953345819853568</v>
      </c>
      <c r="H43" s="88">
        <f>SUM(H38:H42)</f>
        <v>5873</v>
      </c>
      <c r="I43" s="54">
        <f>B43/B$20</f>
        <v>4.996073066301842E-2</v>
      </c>
      <c r="J43" s="54">
        <f>E43/E$20</f>
        <v>0.10559870175031877</v>
      </c>
      <c r="K43" s="54">
        <f t="shared" si="7"/>
        <v>0.16641636677906549</v>
      </c>
    </row>
    <row r="44" spans="1:12" ht="17.100000000000001" thickBot="1">
      <c r="A44" s="42" t="s">
        <v>228</v>
      </c>
      <c r="B44" s="99">
        <f>B35+B43</f>
        <v>39471</v>
      </c>
      <c r="C44" s="100">
        <f t="shared" si="0"/>
        <v>4963</v>
      </c>
      <c r="D44" s="61">
        <f t="shared" si="1"/>
        <v>0.14382172249913064</v>
      </c>
      <c r="E44" s="99">
        <f>E35+E43</f>
        <v>34508</v>
      </c>
      <c r="F44" s="100">
        <f t="shared" si="2"/>
        <v>-783</v>
      </c>
      <c r="G44" s="61">
        <f t="shared" si="3"/>
        <v>-2.2186959848119917E-2</v>
      </c>
      <c r="H44" s="99">
        <f>H35+H43</f>
        <v>35291</v>
      </c>
      <c r="I44" s="55">
        <f>B44/B$20</f>
        <v>1</v>
      </c>
      <c r="J44" s="55">
        <f>E44/E$20</f>
        <v>1</v>
      </c>
      <c r="K44" s="55">
        <f t="shared" si="7"/>
        <v>1</v>
      </c>
    </row>
    <row r="45" spans="1:12" ht="17.100000000000001" thickTop="1"/>
    <row r="46" spans="1:12">
      <c r="A46" t="s">
        <v>70</v>
      </c>
      <c r="B46">
        <v>763</v>
      </c>
      <c r="E46">
        <v>801</v>
      </c>
      <c r="H46">
        <v>830</v>
      </c>
    </row>
    <row r="48" spans="1:12">
      <c r="A48" t="s">
        <v>71</v>
      </c>
      <c r="B48">
        <v>116.24</v>
      </c>
      <c r="E48">
        <v>97.11</v>
      </c>
      <c r="H48" s="20">
        <v>101.5</v>
      </c>
    </row>
  </sheetData>
  <mergeCells count="5">
    <mergeCell ref="A1:H1"/>
    <mergeCell ref="A2:H2"/>
    <mergeCell ref="A3:H3"/>
    <mergeCell ref="A4:H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F7D9-7C2E-BB46-B9EC-A4992B7DC50B}">
  <dimension ref="A1:M48"/>
  <sheetViews>
    <sheetView zoomScale="86" workbookViewId="0">
      <selection activeCell="J25" sqref="J25"/>
    </sheetView>
  </sheetViews>
  <sheetFormatPr defaultColWidth="11" defaultRowHeight="15.95"/>
  <cols>
    <col min="1" max="1" width="70.125" customWidth="1"/>
    <col min="2" max="4" width="21.875" customWidth="1"/>
    <col min="5" max="7" width="25.625" customWidth="1"/>
    <col min="8" max="8" width="23.375" customWidth="1"/>
  </cols>
  <sheetData>
    <row r="1" spans="1:13" ht="15.95" customHeight="1">
      <c r="A1" s="226" t="s">
        <v>205</v>
      </c>
      <c r="B1" s="226"/>
      <c r="C1" s="226"/>
      <c r="D1" s="226"/>
      <c r="E1" s="226"/>
      <c r="F1" s="226"/>
      <c r="G1" s="226"/>
      <c r="H1" s="226"/>
      <c r="I1" s="47"/>
      <c r="J1" s="47"/>
      <c r="K1" s="47"/>
      <c r="L1" s="47"/>
      <c r="M1" s="49"/>
    </row>
    <row r="2" spans="1:13">
      <c r="A2" s="226" t="s">
        <v>229</v>
      </c>
      <c r="B2" s="226"/>
      <c r="C2" s="226"/>
      <c r="D2" s="226"/>
      <c r="E2" s="226"/>
      <c r="F2" s="226"/>
      <c r="G2" s="226"/>
      <c r="H2" s="226"/>
      <c r="I2" s="48"/>
      <c r="J2" s="48"/>
      <c r="K2" s="48"/>
      <c r="L2" s="48"/>
      <c r="M2" s="49"/>
    </row>
    <row r="3" spans="1:13">
      <c r="A3" s="226" t="s">
        <v>207</v>
      </c>
      <c r="B3" s="226"/>
      <c r="C3" s="226"/>
      <c r="D3" s="226"/>
      <c r="E3" s="226"/>
      <c r="F3" s="226"/>
      <c r="G3" s="226"/>
      <c r="H3" s="226"/>
      <c r="I3" s="48"/>
      <c r="J3" s="48"/>
      <c r="K3" s="48"/>
      <c r="L3" s="48"/>
      <c r="M3" s="49"/>
    </row>
    <row r="4" spans="1:13">
      <c r="A4" s="226" t="s">
        <v>3</v>
      </c>
      <c r="B4" s="226"/>
      <c r="C4" s="226"/>
      <c r="D4" s="226"/>
      <c r="E4" s="226"/>
      <c r="F4" s="226"/>
      <c r="G4" s="226"/>
      <c r="H4" s="226"/>
      <c r="I4" s="48"/>
      <c r="J4" s="48"/>
      <c r="K4" s="48"/>
      <c r="L4" s="48"/>
      <c r="M4" s="49"/>
    </row>
    <row r="5" spans="1:13">
      <c r="A5" s="6"/>
      <c r="B5" s="6"/>
      <c r="C5" s="6"/>
      <c r="D5" s="6"/>
      <c r="E5" s="6"/>
      <c r="F5" s="6"/>
      <c r="G5" s="6"/>
      <c r="H5" s="6"/>
      <c r="I5" s="50"/>
      <c r="J5" s="50"/>
      <c r="K5" s="50"/>
      <c r="L5" s="50"/>
      <c r="M5" s="50"/>
    </row>
    <row r="6" spans="1:13">
      <c r="B6" s="163">
        <v>43861</v>
      </c>
      <c r="C6" s="163" t="s">
        <v>195</v>
      </c>
      <c r="D6" s="163" t="s">
        <v>7</v>
      </c>
      <c r="E6" s="163">
        <v>43497</v>
      </c>
      <c r="F6" s="163" t="s">
        <v>195</v>
      </c>
      <c r="G6" s="163" t="s">
        <v>7</v>
      </c>
      <c r="H6" s="163">
        <v>43133</v>
      </c>
      <c r="I6" s="50"/>
      <c r="J6" s="50"/>
      <c r="K6" s="50"/>
      <c r="L6" s="50"/>
      <c r="M6" s="50"/>
    </row>
    <row r="7" spans="1:13">
      <c r="A7" t="s">
        <v>230</v>
      </c>
      <c r="B7" s="2"/>
      <c r="C7" s="2"/>
      <c r="D7" s="2"/>
      <c r="E7" s="2"/>
      <c r="F7" s="2"/>
      <c r="G7" s="2"/>
      <c r="H7" s="2"/>
    </row>
    <row r="8" spans="1:13">
      <c r="A8" t="s">
        <v>28</v>
      </c>
      <c r="B8" s="73">
        <f>'Competitor Income Statement'!B19</f>
        <v>4281</v>
      </c>
      <c r="C8" s="75">
        <f>B8-E8</f>
        <v>1967</v>
      </c>
      <c r="D8" s="53">
        <f>C8/E8</f>
        <v>0.85004321521175452</v>
      </c>
      <c r="E8" s="73">
        <f>'Competitor Income Statement'!E19</f>
        <v>2314</v>
      </c>
      <c r="F8" s="75">
        <f>E8-H8</f>
        <v>-1133</v>
      </c>
      <c r="G8" s="53">
        <f>F8/H8</f>
        <v>-0.32869161589788221</v>
      </c>
      <c r="H8" s="73">
        <f>'Competitor Income Statement'!H19</f>
        <v>3447</v>
      </c>
    </row>
    <row r="9" spans="1:13">
      <c r="A9" t="s">
        <v>231</v>
      </c>
      <c r="B9" s="16"/>
      <c r="C9" s="62"/>
      <c r="D9" s="53"/>
      <c r="E9" s="16"/>
      <c r="F9" s="62"/>
      <c r="G9" s="53"/>
      <c r="H9" s="16"/>
    </row>
    <row r="10" spans="1:13">
      <c r="A10" t="s">
        <v>17</v>
      </c>
      <c r="B10" s="16">
        <v>1410</v>
      </c>
      <c r="C10" s="62">
        <f t="shared" ref="C10:C47" si="0">B10-E10</f>
        <v>-197</v>
      </c>
      <c r="D10" s="53">
        <f t="shared" ref="D10:D47" si="1">C10/E10</f>
        <v>-0.12258867454884878</v>
      </c>
      <c r="E10" s="16">
        <v>1607</v>
      </c>
      <c r="F10" s="62">
        <f t="shared" ref="F10:F47" si="2">E10-H10</f>
        <v>67</v>
      </c>
      <c r="G10" s="53">
        <f t="shared" ref="G10:G47" si="3">F10/H10</f>
        <v>4.3506493506493507E-2</v>
      </c>
      <c r="H10" s="16">
        <v>1540</v>
      </c>
    </row>
    <row r="11" spans="1:13">
      <c r="A11" t="s">
        <v>232</v>
      </c>
      <c r="B11" s="18">
        <v>468</v>
      </c>
      <c r="C11" s="62">
        <f t="shared" si="0"/>
        <v>468</v>
      </c>
      <c r="D11" s="53"/>
      <c r="E11" s="65">
        <v>0</v>
      </c>
      <c r="F11" s="95">
        <v>0</v>
      </c>
      <c r="G11" s="53"/>
      <c r="H11" s="96">
        <v>0</v>
      </c>
    </row>
    <row r="12" spans="1:13">
      <c r="A12" t="s">
        <v>59</v>
      </c>
      <c r="B12" s="16">
        <v>177</v>
      </c>
      <c r="C12" s="62">
        <f t="shared" si="0"/>
        <v>328</v>
      </c>
      <c r="D12" s="53">
        <f t="shared" si="1"/>
        <v>-2.1721854304635762</v>
      </c>
      <c r="E12" s="16">
        <v>-151</v>
      </c>
      <c r="F12" s="62">
        <f t="shared" si="2"/>
        <v>-204</v>
      </c>
      <c r="G12" s="53">
        <f t="shared" si="3"/>
        <v>-3.8490566037735849</v>
      </c>
      <c r="H12" s="16">
        <v>53</v>
      </c>
    </row>
    <row r="13" spans="1:13">
      <c r="A13" t="s">
        <v>233</v>
      </c>
      <c r="B13" s="16">
        <v>117</v>
      </c>
      <c r="C13" s="62">
        <f t="shared" si="0"/>
        <v>-513</v>
      </c>
      <c r="D13" s="53">
        <f t="shared" si="1"/>
        <v>-0.81428571428571428</v>
      </c>
      <c r="E13" s="16">
        <v>630</v>
      </c>
      <c r="F13" s="62">
        <f t="shared" si="2"/>
        <v>590</v>
      </c>
      <c r="G13" s="53">
        <f t="shared" si="3"/>
        <v>14.75</v>
      </c>
      <c r="H13" s="16">
        <v>40</v>
      </c>
    </row>
    <row r="14" spans="1:13">
      <c r="A14" t="s">
        <v>234</v>
      </c>
      <c r="B14" s="65">
        <v>0</v>
      </c>
      <c r="C14" s="62">
        <f t="shared" si="0"/>
        <v>-952</v>
      </c>
      <c r="D14" s="53">
        <f t="shared" si="1"/>
        <v>-1</v>
      </c>
      <c r="E14" s="16">
        <v>952</v>
      </c>
      <c r="F14" s="62">
        <f t="shared" si="2"/>
        <v>952</v>
      </c>
      <c r="G14" s="53"/>
      <c r="H14" s="65">
        <v>0</v>
      </c>
    </row>
    <row r="15" spans="1:13">
      <c r="A15" t="s">
        <v>199</v>
      </c>
      <c r="B15" s="65">
        <v>0</v>
      </c>
      <c r="C15" s="95">
        <f t="shared" si="0"/>
        <v>0</v>
      </c>
      <c r="D15" s="53"/>
      <c r="E15" s="65">
        <v>0</v>
      </c>
      <c r="F15" s="62">
        <f t="shared" si="2"/>
        <v>-464</v>
      </c>
      <c r="G15" s="53">
        <f t="shared" si="3"/>
        <v>-1</v>
      </c>
      <c r="H15" s="16">
        <v>464</v>
      </c>
    </row>
    <row r="16" spans="1:13">
      <c r="A16" t="s">
        <v>235</v>
      </c>
      <c r="B16" s="16">
        <v>12</v>
      </c>
      <c r="C16" s="62">
        <f t="shared" si="0"/>
        <v>3</v>
      </c>
      <c r="D16" s="53">
        <f t="shared" si="1"/>
        <v>0.33333333333333331</v>
      </c>
      <c r="E16" s="16">
        <v>9</v>
      </c>
      <c r="F16" s="62">
        <f t="shared" si="2"/>
        <v>91</v>
      </c>
      <c r="G16" s="53">
        <f t="shared" si="3"/>
        <v>-1.1097560975609757</v>
      </c>
      <c r="H16" s="16">
        <v>-82</v>
      </c>
    </row>
    <row r="17" spans="1:8">
      <c r="A17" t="s">
        <v>236</v>
      </c>
      <c r="B17" s="16">
        <v>98</v>
      </c>
      <c r="C17" s="62">
        <f t="shared" si="0"/>
        <v>24</v>
      </c>
      <c r="D17" s="53">
        <f t="shared" si="1"/>
        <v>0.32432432432432434</v>
      </c>
      <c r="E17" s="16">
        <v>74</v>
      </c>
      <c r="F17" s="62">
        <f t="shared" si="2"/>
        <v>-25</v>
      </c>
      <c r="G17" s="53">
        <f t="shared" si="3"/>
        <v>-0.25252525252525254</v>
      </c>
      <c r="H17" s="16">
        <v>99</v>
      </c>
    </row>
    <row r="18" spans="1:8">
      <c r="A18" t="s">
        <v>237</v>
      </c>
      <c r="B18" s="16"/>
      <c r="C18" s="62"/>
      <c r="D18" s="53"/>
      <c r="E18" s="16"/>
      <c r="F18" s="62"/>
      <c r="G18" s="53"/>
      <c r="H18" s="16"/>
    </row>
    <row r="19" spans="1:8">
      <c r="A19" t="s">
        <v>238</v>
      </c>
      <c r="B19" s="16">
        <v>-600</v>
      </c>
      <c r="C19" s="62">
        <f t="shared" si="0"/>
        <v>689</v>
      </c>
      <c r="D19" s="53">
        <f t="shared" si="1"/>
        <v>-0.53452288595810704</v>
      </c>
      <c r="E19" s="16">
        <v>-1289</v>
      </c>
      <c r="F19" s="62">
        <f t="shared" si="2"/>
        <v>-498</v>
      </c>
      <c r="G19" s="53">
        <f t="shared" si="3"/>
        <v>0.62958280657395704</v>
      </c>
      <c r="H19" s="16">
        <v>-791</v>
      </c>
    </row>
    <row r="20" spans="1:8">
      <c r="A20" t="s">
        <v>239</v>
      </c>
      <c r="B20" s="16">
        <v>-376</v>
      </c>
      <c r="C20" s="62">
        <f t="shared" si="0"/>
        <v>-266</v>
      </c>
      <c r="D20" s="53">
        <f t="shared" si="1"/>
        <v>2.418181818181818</v>
      </c>
      <c r="E20" s="16">
        <v>-110</v>
      </c>
      <c r="F20" s="62">
        <f t="shared" si="2"/>
        <v>-360</v>
      </c>
      <c r="G20" s="53">
        <f t="shared" si="3"/>
        <v>-1.44</v>
      </c>
      <c r="H20" s="16">
        <v>250</v>
      </c>
    </row>
    <row r="21" spans="1:8">
      <c r="A21" t="s">
        <v>48</v>
      </c>
      <c r="B21" s="16">
        <v>-637</v>
      </c>
      <c r="C21" s="62">
        <f t="shared" si="0"/>
        <v>-2357</v>
      </c>
      <c r="D21" s="53">
        <f t="shared" si="1"/>
        <v>-1.3703488372093022</v>
      </c>
      <c r="E21" s="16">
        <v>1720</v>
      </c>
      <c r="F21" s="62">
        <f t="shared" si="2"/>
        <v>1812</v>
      </c>
      <c r="G21" s="53">
        <f t="shared" si="3"/>
        <v>-19.695652173913043</v>
      </c>
      <c r="H21" s="16">
        <v>-92</v>
      </c>
    </row>
    <row r="22" spans="1:8">
      <c r="A22" t="s">
        <v>240</v>
      </c>
      <c r="B22" s="34">
        <v>-654</v>
      </c>
      <c r="C22" s="62">
        <f t="shared" si="0"/>
        <v>-1091</v>
      </c>
      <c r="D22" s="53">
        <f t="shared" si="1"/>
        <v>-2.4965675057208236</v>
      </c>
      <c r="E22" s="34">
        <v>437</v>
      </c>
      <c r="F22" s="62">
        <f t="shared" si="2"/>
        <v>300</v>
      </c>
      <c r="G22" s="53">
        <f t="shared" si="3"/>
        <v>2.1897810218978102</v>
      </c>
      <c r="H22" s="34">
        <v>137</v>
      </c>
    </row>
    <row r="23" spans="1:8">
      <c r="A23" t="s">
        <v>86</v>
      </c>
      <c r="B23" s="35">
        <f>SUM(B8:B22)</f>
        <v>4296</v>
      </c>
      <c r="C23" s="63">
        <f t="shared" si="0"/>
        <v>-1897</v>
      </c>
      <c r="D23" s="54">
        <f t="shared" si="1"/>
        <v>-0.30631357984821572</v>
      </c>
      <c r="E23" s="35">
        <f>SUM(E8:E22)</f>
        <v>6193</v>
      </c>
      <c r="F23" s="63">
        <f t="shared" si="2"/>
        <v>1128</v>
      </c>
      <c r="G23" s="54">
        <f t="shared" si="3"/>
        <v>0.22270483711747285</v>
      </c>
      <c r="H23" s="35">
        <f>SUM(H8:H22)</f>
        <v>5065</v>
      </c>
    </row>
    <row r="24" spans="1:8">
      <c r="A24" t="s">
        <v>241</v>
      </c>
      <c r="C24" s="62"/>
      <c r="D24" s="53"/>
      <c r="E24" s="2"/>
      <c r="F24" s="62"/>
      <c r="G24" s="53"/>
      <c r="H24" s="2"/>
    </row>
    <row r="25" spans="1:8">
      <c r="A25" t="s">
        <v>242</v>
      </c>
      <c r="B25" s="16">
        <v>-743</v>
      </c>
      <c r="C25" s="62">
        <f t="shared" si="0"/>
        <v>630</v>
      </c>
      <c r="D25" s="53">
        <f t="shared" si="1"/>
        <v>-0.45884923525127458</v>
      </c>
      <c r="E25" s="16">
        <v>-1373</v>
      </c>
      <c r="F25" s="62">
        <f t="shared" si="2"/>
        <v>-392</v>
      </c>
      <c r="G25" s="53">
        <f t="shared" si="3"/>
        <v>0.39959225280326199</v>
      </c>
      <c r="H25" s="16">
        <v>-981</v>
      </c>
    </row>
    <row r="26" spans="1:8">
      <c r="A26" t="s">
        <v>243</v>
      </c>
      <c r="B26" s="16">
        <v>695</v>
      </c>
      <c r="C26" s="62">
        <f t="shared" si="0"/>
        <v>-698</v>
      </c>
      <c r="D26" s="53">
        <f t="shared" si="1"/>
        <v>-0.50107681263460158</v>
      </c>
      <c r="E26" s="16">
        <v>1393</v>
      </c>
      <c r="F26" s="62">
        <f t="shared" si="2"/>
        <v>279</v>
      </c>
      <c r="G26" s="53">
        <f t="shared" si="3"/>
        <v>0.25044883303411131</v>
      </c>
      <c r="H26" s="16">
        <v>1114</v>
      </c>
    </row>
    <row r="27" spans="1:8">
      <c r="A27" t="s">
        <v>88</v>
      </c>
      <c r="B27" s="16">
        <v>-1484</v>
      </c>
      <c r="C27" s="62">
        <f t="shared" si="0"/>
        <v>-310</v>
      </c>
      <c r="D27" s="53">
        <f t="shared" si="1"/>
        <v>0.26405451448040884</v>
      </c>
      <c r="E27" s="16">
        <v>-1174</v>
      </c>
      <c r="F27" s="62">
        <f t="shared" si="2"/>
        <v>-51</v>
      </c>
      <c r="G27" s="53">
        <f t="shared" si="3"/>
        <v>4.541406945681211E-2</v>
      </c>
      <c r="H27" s="16">
        <v>-1123</v>
      </c>
    </row>
    <row r="28" spans="1:8">
      <c r="A28" t="s">
        <v>244</v>
      </c>
      <c r="B28" s="16">
        <v>163</v>
      </c>
      <c r="C28" s="62">
        <f t="shared" si="0"/>
        <v>87</v>
      </c>
      <c r="D28" s="53">
        <f t="shared" si="1"/>
        <v>1.1447368421052631</v>
      </c>
      <c r="E28" s="16">
        <v>76</v>
      </c>
      <c r="F28" s="62">
        <f t="shared" si="2"/>
        <v>31</v>
      </c>
      <c r="G28" s="53">
        <f t="shared" si="3"/>
        <v>0.68888888888888888</v>
      </c>
      <c r="H28" s="16">
        <v>45</v>
      </c>
    </row>
    <row r="29" spans="1:8">
      <c r="A29" t="s">
        <v>245</v>
      </c>
      <c r="B29" s="65">
        <v>0</v>
      </c>
      <c r="C29" s="95">
        <v>0</v>
      </c>
      <c r="D29" s="53"/>
      <c r="E29" s="65">
        <v>0</v>
      </c>
      <c r="F29" s="62">
        <f t="shared" si="2"/>
        <v>509</v>
      </c>
      <c r="G29" s="53">
        <f t="shared" si="3"/>
        <v>-1</v>
      </c>
      <c r="H29" s="16">
        <v>-509</v>
      </c>
    </row>
    <row r="30" spans="1:8">
      <c r="A30" t="s">
        <v>246</v>
      </c>
      <c r="B30" s="65">
        <v>0</v>
      </c>
      <c r="C30" s="62">
        <f t="shared" si="0"/>
        <v>2</v>
      </c>
      <c r="D30" s="53">
        <f t="shared" si="1"/>
        <v>-1</v>
      </c>
      <c r="E30" s="34">
        <v>-2</v>
      </c>
      <c r="F30" s="62">
        <f t="shared" si="2"/>
        <v>-15</v>
      </c>
      <c r="G30" s="53">
        <f t="shared" si="3"/>
        <v>-1.1538461538461537</v>
      </c>
      <c r="H30" s="34">
        <v>13</v>
      </c>
    </row>
    <row r="31" spans="1:8">
      <c r="A31" t="s">
        <v>92</v>
      </c>
      <c r="B31" s="35">
        <f>SUM(B25:B30)</f>
        <v>-1369</v>
      </c>
      <c r="C31" s="63">
        <f t="shared" si="0"/>
        <v>-289</v>
      </c>
      <c r="D31" s="54">
        <f t="shared" si="1"/>
        <v>0.2675925925925926</v>
      </c>
      <c r="E31" s="35">
        <f>SUM(E25:E30)</f>
        <v>-1080</v>
      </c>
      <c r="F31" s="63">
        <f t="shared" si="2"/>
        <v>361</v>
      </c>
      <c r="G31" s="54">
        <f t="shared" si="3"/>
        <v>-0.2505204718945177</v>
      </c>
      <c r="H31" s="35">
        <f>SUM(H25:H30)</f>
        <v>-1441</v>
      </c>
    </row>
    <row r="32" spans="1:8">
      <c r="A32" t="s">
        <v>247</v>
      </c>
      <c r="B32" s="16"/>
      <c r="C32" s="62"/>
      <c r="D32" s="53"/>
      <c r="E32" s="16"/>
      <c r="F32" s="62"/>
      <c r="G32" s="53"/>
      <c r="H32" s="16"/>
    </row>
    <row r="33" spans="1:8">
      <c r="A33" t="s">
        <v>248</v>
      </c>
      <c r="B33" s="16">
        <v>220</v>
      </c>
      <c r="C33" s="62">
        <f t="shared" si="0"/>
        <v>635</v>
      </c>
      <c r="D33" s="53">
        <f t="shared" si="1"/>
        <v>-1.5301204819277108</v>
      </c>
      <c r="E33" s="16">
        <v>-415</v>
      </c>
      <c r="F33" s="62">
        <f t="shared" si="2"/>
        <v>-1040</v>
      </c>
      <c r="G33" s="53">
        <f t="shared" si="3"/>
        <v>-1.6639999999999999</v>
      </c>
      <c r="H33" s="16">
        <v>625</v>
      </c>
    </row>
    <row r="34" spans="1:8">
      <c r="A34" t="s">
        <v>249</v>
      </c>
      <c r="B34" s="16">
        <v>3972</v>
      </c>
      <c r="C34" s="62">
        <f t="shared" si="0"/>
        <v>3972</v>
      </c>
      <c r="D34" s="53"/>
      <c r="E34" s="65">
        <v>0</v>
      </c>
      <c r="F34" s="62">
        <f t="shared" si="2"/>
        <v>-2968</v>
      </c>
      <c r="G34" s="53">
        <f t="shared" si="3"/>
        <v>-1</v>
      </c>
      <c r="H34" s="16">
        <v>2968</v>
      </c>
    </row>
    <row r="35" spans="1:8">
      <c r="A35" t="s">
        <v>250</v>
      </c>
      <c r="B35" s="16">
        <v>-1113</v>
      </c>
      <c r="C35" s="62">
        <f t="shared" si="0"/>
        <v>-787</v>
      </c>
      <c r="D35" s="53">
        <f t="shared" si="1"/>
        <v>2.4141104294478528</v>
      </c>
      <c r="E35" s="16">
        <v>-326</v>
      </c>
      <c r="F35" s="62">
        <f t="shared" si="2"/>
        <v>2523</v>
      </c>
      <c r="G35" s="53">
        <f t="shared" si="3"/>
        <v>-0.88557388557388561</v>
      </c>
      <c r="H35" s="16">
        <v>-2849</v>
      </c>
    </row>
    <row r="36" spans="1:8">
      <c r="A36" t="s">
        <v>251</v>
      </c>
      <c r="B36" s="16">
        <v>118</v>
      </c>
      <c r="C36" s="62">
        <f t="shared" si="0"/>
        <v>4</v>
      </c>
      <c r="D36" s="53">
        <f t="shared" si="1"/>
        <v>3.5087719298245612E-2</v>
      </c>
      <c r="E36" s="16">
        <v>114</v>
      </c>
      <c r="F36" s="62">
        <f t="shared" si="2"/>
        <v>-25</v>
      </c>
      <c r="G36" s="53">
        <f t="shared" si="3"/>
        <v>-0.17985611510791366</v>
      </c>
      <c r="H36" s="16">
        <v>139</v>
      </c>
    </row>
    <row r="37" spans="1:8">
      <c r="A37" t="s">
        <v>252</v>
      </c>
      <c r="B37" s="16">
        <v>-1618</v>
      </c>
      <c r="C37" s="62">
        <f t="shared" si="0"/>
        <v>-163</v>
      </c>
      <c r="D37" s="53">
        <f t="shared" si="1"/>
        <v>0.11202749140893471</v>
      </c>
      <c r="E37" s="16">
        <v>-1455</v>
      </c>
      <c r="F37" s="62">
        <f t="shared" si="2"/>
        <v>-167</v>
      </c>
      <c r="G37" s="53">
        <f t="shared" si="3"/>
        <v>0.12965838509316771</v>
      </c>
      <c r="H37" s="16">
        <v>-1288</v>
      </c>
    </row>
    <row r="38" spans="1:8">
      <c r="A38" t="s">
        <v>253</v>
      </c>
      <c r="B38" s="16">
        <v>-4313</v>
      </c>
      <c r="C38" s="62">
        <f t="shared" si="0"/>
        <v>-1276</v>
      </c>
      <c r="D38" s="53">
        <f t="shared" si="1"/>
        <v>0.4201514652617715</v>
      </c>
      <c r="E38" s="16">
        <v>-3037</v>
      </c>
      <c r="F38" s="62">
        <f t="shared" si="2"/>
        <v>155</v>
      </c>
      <c r="G38" s="53">
        <f t="shared" si="3"/>
        <v>-4.8558897243107767E-2</v>
      </c>
      <c r="H38" s="16">
        <v>-3192</v>
      </c>
    </row>
    <row r="39" spans="1:8">
      <c r="A39" t="s">
        <v>246</v>
      </c>
      <c r="B39" s="17">
        <v>-1</v>
      </c>
      <c r="C39" s="62">
        <f t="shared" si="0"/>
        <v>4</v>
      </c>
      <c r="D39" s="53">
        <f t="shared" si="1"/>
        <v>-0.8</v>
      </c>
      <c r="E39" s="34">
        <v>-5</v>
      </c>
      <c r="F39" s="62">
        <f t="shared" si="2"/>
        <v>5</v>
      </c>
      <c r="G39" s="53">
        <f t="shared" si="3"/>
        <v>-0.5</v>
      </c>
      <c r="H39" s="17">
        <v>-10</v>
      </c>
    </row>
    <row r="40" spans="1:8">
      <c r="A40" t="s">
        <v>101</v>
      </c>
      <c r="B40" s="16">
        <f>SUM(B33:B39)</f>
        <v>-2735</v>
      </c>
      <c r="C40" s="63">
        <f t="shared" si="0"/>
        <v>2389</v>
      </c>
      <c r="D40" s="54">
        <f t="shared" si="1"/>
        <v>-0.46623731459797035</v>
      </c>
      <c r="E40" s="35">
        <f>SUM(E33:E39)</f>
        <v>-5124</v>
      </c>
      <c r="F40" s="63">
        <f t="shared" si="2"/>
        <v>-1517</v>
      </c>
      <c r="G40" s="54">
        <f t="shared" si="3"/>
        <v>0.42057111172719713</v>
      </c>
      <c r="H40" s="16">
        <f>SUM(H33:H39)</f>
        <v>-3607</v>
      </c>
    </row>
    <row r="41" spans="1:8">
      <c r="A41" t="s">
        <v>254</v>
      </c>
      <c r="B41" s="16">
        <v>1</v>
      </c>
      <c r="C41" s="62">
        <f t="shared" si="0"/>
        <v>13</v>
      </c>
      <c r="D41" s="53">
        <f t="shared" si="1"/>
        <v>-1.0833333333333333</v>
      </c>
      <c r="E41" s="16">
        <v>-12</v>
      </c>
      <c r="F41" s="62">
        <f t="shared" si="2"/>
        <v>-25</v>
      </c>
      <c r="G41" s="53">
        <f t="shared" si="3"/>
        <v>-1.9230769230769231</v>
      </c>
      <c r="H41" s="16">
        <v>13</v>
      </c>
    </row>
    <row r="42" spans="1:8">
      <c r="B42" s="16"/>
      <c r="C42" s="62"/>
      <c r="D42" s="53"/>
      <c r="E42" s="16"/>
      <c r="F42" s="62"/>
      <c r="G42" s="53"/>
      <c r="H42" s="16"/>
    </row>
    <row r="43" spans="1:8">
      <c r="A43" t="s">
        <v>255</v>
      </c>
      <c r="B43" s="16">
        <f>SUM(B23,B31,B40,B41)</f>
        <v>193</v>
      </c>
      <c r="C43" s="62">
        <f t="shared" si="0"/>
        <v>216</v>
      </c>
      <c r="D43" s="53">
        <f t="shared" si="1"/>
        <v>-9.3913043478260878</v>
      </c>
      <c r="E43" s="16">
        <f>SUM(E23,E31,E40,E41)</f>
        <v>-23</v>
      </c>
      <c r="F43" s="62">
        <f t="shared" si="2"/>
        <v>-53</v>
      </c>
      <c r="G43" s="53">
        <f t="shared" si="3"/>
        <v>-1.7666666666666666</v>
      </c>
      <c r="H43" s="16">
        <f>SUM(H23,H31,H40,H41)</f>
        <v>30</v>
      </c>
    </row>
    <row r="44" spans="1:8">
      <c r="A44" t="s">
        <v>256</v>
      </c>
      <c r="B44" s="16">
        <v>12</v>
      </c>
      <c r="C44" s="62">
        <f t="shared" si="0"/>
        <v>66</v>
      </c>
      <c r="D44" s="53">
        <f t="shared" si="1"/>
        <v>-1.2222222222222223</v>
      </c>
      <c r="E44" s="16">
        <v>-54</v>
      </c>
      <c r="F44" s="62">
        <f t="shared" si="2"/>
        <v>-54</v>
      </c>
      <c r="G44" s="53"/>
      <c r="H44" s="65">
        <v>0</v>
      </c>
    </row>
    <row r="45" spans="1:8">
      <c r="A45" t="s">
        <v>257</v>
      </c>
      <c r="B45" s="1">
        <f>B43+B44</f>
        <v>205</v>
      </c>
      <c r="C45" s="62">
        <f t="shared" si="0"/>
        <v>282</v>
      </c>
      <c r="D45" s="53">
        <f t="shared" si="1"/>
        <v>-3.6623376623376624</v>
      </c>
      <c r="E45" s="86">
        <f>E43+E44</f>
        <v>-77</v>
      </c>
      <c r="F45" s="62">
        <f t="shared" si="2"/>
        <v>-107</v>
      </c>
      <c r="G45" s="53">
        <f t="shared" si="3"/>
        <v>-3.5666666666666669</v>
      </c>
      <c r="H45" s="1">
        <f>H43+H44</f>
        <v>30</v>
      </c>
    </row>
    <row r="46" spans="1:8">
      <c r="A46" t="s">
        <v>258</v>
      </c>
      <c r="B46" s="15">
        <v>511</v>
      </c>
      <c r="C46" s="62">
        <f t="shared" si="0"/>
        <v>-77</v>
      </c>
      <c r="D46" s="53">
        <f t="shared" si="1"/>
        <v>-0.13095238095238096</v>
      </c>
      <c r="E46" s="15">
        <v>588</v>
      </c>
      <c r="F46" s="62">
        <f t="shared" si="2"/>
        <v>30</v>
      </c>
      <c r="G46" s="53">
        <f t="shared" si="3"/>
        <v>5.3763440860215055E-2</v>
      </c>
      <c r="H46" s="15">
        <v>558</v>
      </c>
    </row>
    <row r="47" spans="1:8" ht="17.100000000000001" thickBot="1">
      <c r="A47" t="s">
        <v>259</v>
      </c>
      <c r="B47" s="76">
        <f>B45+B46</f>
        <v>716</v>
      </c>
      <c r="C47" s="77">
        <f t="shared" si="0"/>
        <v>205</v>
      </c>
      <c r="D47" s="55">
        <f t="shared" si="1"/>
        <v>0.40117416829745595</v>
      </c>
      <c r="E47" s="76">
        <f>E45+E46</f>
        <v>511</v>
      </c>
      <c r="F47" s="77">
        <f t="shared" si="2"/>
        <v>-77</v>
      </c>
      <c r="G47" s="55">
        <f t="shared" si="3"/>
        <v>-0.13095238095238096</v>
      </c>
      <c r="H47" s="76">
        <f>H45+H46</f>
        <v>588</v>
      </c>
    </row>
    <row r="48" spans="1:8" ht="17.100000000000001" thickTop="1"/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2020-08-25T20:56:40Z</dcterms:created>
  <dcterms:modified xsi:type="dcterms:W3CDTF">2020-10-09T14:22:28Z</dcterms:modified>
  <cp:category/>
  <cp:contentStatus/>
</cp:coreProperties>
</file>